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mdmrevizija-my.sharepoint.com/personal/jelena_mihic_krestonmdm_com/Documents/Instagram/kursevi/Jelena/finansije za IT/"/>
    </mc:Choice>
  </mc:AlternateContent>
  <xr:revisionPtr revIDLastSave="699" documentId="8_{C9F656C5-6DDC-4A17-9901-691E7704792C}" xr6:coauthVersionLast="47" xr6:coauthVersionMax="47" xr10:uidLastSave="{B9043745-85AB-41CC-94BB-57426C588190}"/>
  <bookViews>
    <workbookView xWindow="-120" yWindow="-120" windowWidth="29040" windowHeight="15720" activeTab="2" xr2:uid="{82408E4E-6ACC-4CA4-AE76-92DA10C0FE09}"/>
  </bookViews>
  <sheets>
    <sheet name="L4 - Analiza FI" sheetId="1" r:id="rId1"/>
    <sheet name="L7 - NPV i IRR" sheetId="2" r:id="rId2"/>
    <sheet name="L10 - studije slucaj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3" l="1"/>
  <c r="E45" i="3"/>
  <c r="E46" i="3" s="1"/>
  <c r="F45" i="3"/>
  <c r="F46" i="3" s="1"/>
  <c r="G45" i="3"/>
  <c r="G46" i="3" s="1"/>
  <c r="H45" i="3"/>
  <c r="H46" i="3" s="1"/>
  <c r="D45" i="3"/>
  <c r="D46" i="3" s="1"/>
  <c r="E29" i="3"/>
  <c r="E30" i="3" s="1"/>
  <c r="F29" i="3"/>
  <c r="F30" i="3" s="1"/>
  <c r="G29" i="3"/>
  <c r="G30" i="3" s="1"/>
  <c r="H29" i="3"/>
  <c r="H30" i="3" s="1"/>
  <c r="D29" i="3"/>
  <c r="D30" i="3" s="1"/>
  <c r="C30" i="3"/>
  <c r="C13" i="3"/>
  <c r="E10" i="3"/>
  <c r="E11" i="3" s="1"/>
  <c r="F10" i="3"/>
  <c r="F11" i="3" s="1"/>
  <c r="G10" i="3"/>
  <c r="G11" i="3" s="1"/>
  <c r="H10" i="3"/>
  <c r="H11" i="3" s="1"/>
  <c r="D10" i="3"/>
  <c r="D11" i="3" s="1"/>
  <c r="D34" i="2"/>
  <c r="C28" i="2"/>
  <c r="D23" i="2"/>
  <c r="D12" i="2"/>
  <c r="U32" i="1"/>
  <c r="U29" i="1"/>
  <c r="U26" i="1"/>
  <c r="U23" i="1"/>
  <c r="U20" i="1"/>
  <c r="P43" i="1"/>
  <c r="O43" i="1"/>
  <c r="P39" i="1"/>
  <c r="O39" i="1"/>
  <c r="P32" i="1"/>
  <c r="O32" i="1"/>
  <c r="P29" i="1"/>
  <c r="O29" i="1"/>
  <c r="P26" i="1"/>
  <c r="O26" i="1"/>
  <c r="P23" i="1"/>
  <c r="O23" i="1"/>
  <c r="O20" i="1"/>
  <c r="P20" i="1"/>
  <c r="L38" i="1"/>
  <c r="K38" i="1"/>
  <c r="L32" i="1"/>
  <c r="K32" i="1"/>
  <c r="L26" i="1"/>
  <c r="K26" i="1"/>
  <c r="L20" i="1"/>
  <c r="K20" i="1"/>
  <c r="C31" i="1"/>
  <c r="C29" i="1"/>
  <c r="C21" i="1"/>
  <c r="C23" i="1"/>
  <c r="C20" i="1"/>
  <c r="C6" i="1"/>
  <c r="C8" i="1" s="1"/>
  <c r="C32" i="1" s="1"/>
  <c r="D6" i="1"/>
  <c r="D8" i="1" s="1"/>
  <c r="G24" i="1"/>
  <c r="G25" i="1"/>
  <c r="G23" i="1"/>
  <c r="G20" i="1"/>
  <c r="G21" i="1"/>
  <c r="G22" i="1"/>
  <c r="G19" i="1"/>
  <c r="G15" i="1"/>
  <c r="H15" i="1"/>
  <c r="G8" i="1"/>
  <c r="G10" i="1" s="1"/>
  <c r="G39" i="1" s="1"/>
  <c r="H8" i="1"/>
  <c r="H10" i="1" s="1"/>
  <c r="G30" i="1" s="1"/>
  <c r="C34" i="3" l="1"/>
  <c r="C49" i="3"/>
  <c r="C48" i="3"/>
  <c r="C35" i="3"/>
  <c r="C31" i="3"/>
  <c r="C32" i="3"/>
  <c r="G13" i="3"/>
  <c r="F13" i="3"/>
  <c r="E13" i="3"/>
  <c r="D13" i="3"/>
  <c r="H13" i="3"/>
  <c r="C24" i="1"/>
  <c r="C30" i="1"/>
  <c r="C22" i="1"/>
  <c r="G32" i="1"/>
  <c r="G36" i="1"/>
  <c r="G38" i="1"/>
  <c r="G37" i="1"/>
  <c r="G29" i="1"/>
  <c r="G31" i="1"/>
  <c r="C15" i="3" l="1"/>
  <c r="C16" i="3"/>
  <c r="C19" i="3"/>
  <c r="C18" i="3"/>
</calcChain>
</file>

<file path=xl/sharedStrings.xml><?xml version="1.0" encoding="utf-8"?>
<sst xmlns="http://schemas.openxmlformats.org/spreadsheetml/2006/main" count="207" uniqueCount="103">
  <si>
    <t>Prihod</t>
  </si>
  <si>
    <t> </t>
  </si>
  <si>
    <t>Dugoročne obaveze</t>
  </si>
  <si>
    <t>Kratkoročne obaveze</t>
  </si>
  <si>
    <t>Analiza bilansa stanja</t>
  </si>
  <si>
    <t>Gotovina                            </t>
  </si>
  <si>
    <t>Kratkoročna potraživanja            </t>
  </si>
  <si>
    <t>Zalihe                              </t>
  </si>
  <si>
    <t>Osnovna sredstva                    </t>
  </si>
  <si>
    <t>Kratkoročne obaveze                </t>
  </si>
  <si>
    <t>Dugoročne obaveze                  </t>
  </si>
  <si>
    <t>Kapital                            </t>
  </si>
  <si>
    <t>Ukupne obaveze i kapital</t>
  </si>
  <si>
    <t>AKTIVA</t>
  </si>
  <si>
    <t>PASIVA</t>
  </si>
  <si>
    <t>Gotovina</t>
  </si>
  <si>
    <t>Kratkoročna potraživanja</t>
  </si>
  <si>
    <t>Zalihe</t>
  </si>
  <si>
    <t>Osnovna sredstva</t>
  </si>
  <si>
    <t>Kapital</t>
  </si>
  <si>
    <t>rast</t>
  </si>
  <si>
    <t>pad</t>
  </si>
  <si>
    <t>Vertikalna analiza 2022</t>
  </si>
  <si>
    <t>Vertikalna analiza 2023</t>
  </si>
  <si>
    <t>Analiza bilansa uspeha</t>
  </si>
  <si>
    <t>Prihodi od prodaje</t>
  </si>
  <si>
    <t>Troškovi prodaje</t>
  </si>
  <si>
    <t>Bruto dobit</t>
  </si>
  <si>
    <t>Operativni troškovi</t>
  </si>
  <si>
    <t>Neto dobit</t>
  </si>
  <si>
    <t>Horizontalna analiza</t>
  </si>
  <si>
    <t>Vertikalna analiza (za 2023. godinu)</t>
  </si>
  <si>
    <t>Aktiva=Pasiva</t>
  </si>
  <si>
    <t>Ukupno obrtna sredstva   </t>
  </si>
  <si>
    <t>Ukupna sredstva</t>
  </si>
  <si>
    <t>Obrtna sredstva</t>
  </si>
  <si>
    <t>Prihodi</t>
  </si>
  <si>
    <t>Troškovi</t>
  </si>
  <si>
    <t>Neto marža pokazuje profitabilnost preduzeća.</t>
  </si>
  <si>
    <t>Lkvidnost:</t>
  </si>
  <si>
    <t>Ovaj racio pokazuje u kojoj meri je preduzeće sposobno da kratkoročnim sredstvima izmiruje svoje kratkoročne obaveze.</t>
  </si>
  <si>
    <t>Neto obrtna sredstva:</t>
  </si>
  <si>
    <t>Ovaj pokazatelj pokazuje deo obrtnih sredstava koji je finansiran iz dugoročnih izvora.</t>
  </si>
  <si>
    <t>Zaduženost:</t>
  </si>
  <si>
    <t>Ovaj racio pokazuje udeo duga u ukupnim izvorima finansiranja preduzeća.</t>
  </si>
  <si>
    <t>Neto marža:</t>
  </si>
  <si>
    <t>Racio analiza</t>
  </si>
  <si>
    <t>Ukupne obaveze</t>
  </si>
  <si>
    <t>Prihodi  </t>
  </si>
  <si>
    <t>Troškovi    </t>
  </si>
  <si>
    <t>Prosečni prihodi</t>
  </si>
  <si>
    <t>Prosečni neto dobit</t>
  </si>
  <si>
    <t>   </t>
  </si>
  <si>
    <t>Analiza konkurencije</t>
  </si>
  <si>
    <t>BS</t>
  </si>
  <si>
    <t>BU</t>
  </si>
  <si>
    <t>Industrijski standardi</t>
  </si>
  <si>
    <t>Aktiva</t>
  </si>
  <si>
    <t>2020/2021</t>
  </si>
  <si>
    <t>2021/2022</t>
  </si>
  <si>
    <t>Poređenje sa industrijskim standardima:</t>
  </si>
  <si>
    <t>Procenat prihoda preduzeća u odnosu na prosečne prihode u industriji</t>
  </si>
  <si>
    <t>Procenat neto dobiti preduzeća u odnosu na prosečnu neto dobit u industriji</t>
  </si>
  <si>
    <t>Analiza rizika</t>
  </si>
  <si>
    <t>Dugoročne obaveze  </t>
  </si>
  <si>
    <t>Ukupna aktiva      </t>
  </si>
  <si>
    <t>Prihodi                </t>
  </si>
  <si>
    <t>Troškovi              </t>
  </si>
  <si>
    <t>Neto dobit            </t>
  </si>
  <si>
    <t>Analiza aktive</t>
  </si>
  <si>
    <t>Analiza dugoročnih obaveza</t>
  </si>
  <si>
    <t>Analiza kratkoročnih obaveza</t>
  </si>
  <si>
    <t>Analiza prihoda</t>
  </si>
  <si>
    <t>Analiza neto dobiti</t>
  </si>
  <si>
    <t>Analiza obaveza</t>
  </si>
  <si>
    <t>Analiza kapitala</t>
  </si>
  <si>
    <t>NPV</t>
  </si>
  <si>
    <t>diskontna stopa</t>
  </si>
  <si>
    <t>početna investicija u 2023</t>
  </si>
  <si>
    <t>priliv godišnje (5 godina počev od 2024)</t>
  </si>
  <si>
    <t>IRR</t>
  </si>
  <si>
    <t>priliv godišnje (4 godina počev od 2024)</t>
  </si>
  <si>
    <t>početna investicija 2023</t>
  </si>
  <si>
    <t>?</t>
  </si>
  <si>
    <t>IRR (NPV=0)</t>
  </si>
  <si>
    <t>poželjna stopa prinosa</t>
  </si>
  <si>
    <t>Diskontna stopa za projekat u zemlji</t>
  </si>
  <si>
    <t>u tabeli</t>
  </si>
  <si>
    <t>1. STUDIJA SLUČAJA</t>
  </si>
  <si>
    <t>Porez na dobit</t>
  </si>
  <si>
    <t>Kapitalna ulaganja</t>
  </si>
  <si>
    <t>Stopa poreza na dobit</t>
  </si>
  <si>
    <t>Slobodni novčani tok</t>
  </si>
  <si>
    <t>Diskontna stopa</t>
  </si>
  <si>
    <t>Inicijalno ulaganje</t>
  </si>
  <si>
    <t>PBP</t>
  </si>
  <si>
    <t>na kraju 4. godine</t>
  </si>
  <si>
    <t>na kraju 3. godine</t>
  </si>
  <si>
    <t>2. STUDIJA SLUČAJA</t>
  </si>
  <si>
    <t>3. STUDIJA SLUČAJA</t>
  </si>
  <si>
    <t>u 4. godini</t>
  </si>
  <si>
    <t>u 5. godini</t>
  </si>
  <si>
    <t>EBIT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</si>
</sst>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5"/>
      <color rgb="FF000000"/>
      <name val="Inherit"/>
    </font>
    <font>
      <b/>
      <sz val="11"/>
      <color rgb="FF000000"/>
      <name val="Inherit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6"/>
      <color rgb="FF374151"/>
      <name val="Segoe UI"/>
      <family val="2"/>
    </font>
    <font>
      <sz val="6"/>
      <color rgb="FF374151"/>
      <name val="Segoe U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41" fontId="0" fillId="2" borderId="0" xfId="0" applyNumberFormat="1" applyFill="1"/>
    <xf numFmtId="10" fontId="0" fillId="2" borderId="0" xfId="2" applyNumberFormat="1" applyFont="1" applyFill="1" applyBorder="1"/>
    <xf numFmtId="0" fontId="0" fillId="3" borderId="0" xfId="0" applyFill="1"/>
    <xf numFmtId="10" fontId="0" fillId="3" borderId="0" xfId="2" applyNumberFormat="1" applyFont="1" applyFill="1" applyBorder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horizontal="left" vertical="center" wrapText="1" indent="1"/>
    </xf>
    <xf numFmtId="0" fontId="0" fillId="4" borderId="0" xfId="0" applyFill="1"/>
    <xf numFmtId="10" fontId="0" fillId="4" borderId="0" xfId="2" applyNumberFormat="1" applyFont="1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10" fontId="0" fillId="5" borderId="0" xfId="2" applyNumberFormat="1" applyFont="1" applyFill="1" applyBorder="1"/>
    <xf numFmtId="10" fontId="2" fillId="5" borderId="0" xfId="2" applyNumberFormat="1" applyFont="1" applyFill="1" applyBorder="1"/>
    <xf numFmtId="0" fontId="0" fillId="6" borderId="0" xfId="0" applyFill="1"/>
    <xf numFmtId="0" fontId="6" fillId="6" borderId="0" xfId="0" applyFont="1" applyFill="1" applyAlignment="1">
      <alignment vertical="center"/>
    </xf>
    <xf numFmtId="0" fontId="2" fillId="6" borderId="0" xfId="0" applyFont="1" applyFill="1"/>
    <xf numFmtId="0" fontId="5" fillId="6" borderId="0" xfId="0" applyFont="1" applyFill="1" applyAlignment="1">
      <alignment vertical="center"/>
    </xf>
    <xf numFmtId="0" fontId="7" fillId="7" borderId="0" xfId="0" applyFont="1" applyFill="1"/>
    <xf numFmtId="0" fontId="8" fillId="2" borderId="0" xfId="0" applyFont="1" applyFill="1"/>
    <xf numFmtId="10" fontId="8" fillId="4" borderId="0" xfId="2" applyNumberFormat="1" applyFont="1" applyFill="1" applyBorder="1"/>
    <xf numFmtId="0" fontId="7" fillId="2" borderId="0" xfId="0" applyFont="1" applyFill="1"/>
    <xf numFmtId="10" fontId="7" fillId="8" borderId="0" xfId="2" applyNumberFormat="1" applyFont="1" applyFill="1" applyBorder="1"/>
    <xf numFmtId="0" fontId="7" fillId="9" borderId="0" xfId="0" applyFont="1" applyFill="1"/>
    <xf numFmtId="0" fontId="7" fillId="10" borderId="0" xfId="0" applyFont="1" applyFill="1" applyAlignment="1">
      <alignment vertical="center"/>
    </xf>
    <xf numFmtId="0" fontId="7" fillId="10" borderId="0" xfId="0" applyFont="1" applyFill="1"/>
    <xf numFmtId="10" fontId="8" fillId="2" borderId="0" xfId="2" applyNumberFormat="1" applyFont="1" applyFill="1" applyBorder="1"/>
    <xf numFmtId="0" fontId="8" fillId="3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10" fontId="0" fillId="12" borderId="0" xfId="2" applyNumberFormat="1" applyFont="1" applyFill="1" applyBorder="1"/>
    <xf numFmtId="10" fontId="8" fillId="12" borderId="0" xfId="2" applyNumberFormat="1" applyFont="1" applyFill="1" applyBorder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41" fontId="0" fillId="5" borderId="0" xfId="1" applyFont="1" applyFill="1" applyBorder="1" applyAlignment="1">
      <alignment horizontal="left" vertical="center"/>
    </xf>
    <xf numFmtId="0" fontId="0" fillId="13" borderId="0" xfId="1" applyNumberFormat="1" applyFont="1" applyFill="1" applyBorder="1" applyAlignment="1">
      <alignment horizontal="left" vertical="center"/>
    </xf>
    <xf numFmtId="0" fontId="6" fillId="14" borderId="0" xfId="0" applyFont="1" applyFill="1" applyAlignment="1">
      <alignment vertical="center"/>
    </xf>
    <xf numFmtId="3" fontId="6" fillId="14" borderId="0" xfId="0" applyNumberFormat="1" applyFont="1" applyFill="1" applyAlignment="1">
      <alignment vertical="center"/>
    </xf>
    <xf numFmtId="10" fontId="2" fillId="6" borderId="0" xfId="2" applyNumberFormat="1" applyFont="1" applyFill="1" applyBorder="1" applyAlignment="1">
      <alignment horizontal="center"/>
    </xf>
    <xf numFmtId="0" fontId="5" fillId="15" borderId="1" xfId="0" applyFont="1" applyFill="1" applyBorder="1" applyAlignment="1">
      <alignment vertical="center"/>
    </xf>
    <xf numFmtId="0" fontId="8" fillId="15" borderId="1" xfId="0" applyFont="1" applyFill="1" applyBorder="1"/>
    <xf numFmtId="10" fontId="8" fillId="16" borderId="1" xfId="2" applyNumberFormat="1" applyFont="1" applyFill="1" applyBorder="1"/>
    <xf numFmtId="10" fontId="8" fillId="17" borderId="1" xfId="2" applyNumberFormat="1" applyFont="1" applyFill="1" applyBorder="1"/>
    <xf numFmtId="10" fontId="8" fillId="18" borderId="1" xfId="2" applyNumberFormat="1" applyFont="1" applyFill="1" applyBorder="1"/>
    <xf numFmtId="0" fontId="7" fillId="9" borderId="0" xfId="0" applyFont="1" applyFill="1" applyAlignment="1">
      <alignment horizontal="center"/>
    </xf>
    <xf numFmtId="41" fontId="0" fillId="13" borderId="0" xfId="1" applyFont="1" applyFill="1" applyBorder="1" applyAlignment="1">
      <alignment horizontal="center" vertical="center"/>
    </xf>
    <xf numFmtId="41" fontId="0" fillId="5" borderId="0" xfId="1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/>
    </xf>
    <xf numFmtId="10" fontId="0" fillId="5" borderId="0" xfId="2" applyNumberFormat="1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8" fillId="4" borderId="0" xfId="1" applyNumberFormat="1" applyFont="1" applyFill="1" applyBorder="1" applyAlignment="1">
      <alignment horizontal="center" vertical="center"/>
    </xf>
    <xf numFmtId="0" fontId="0" fillId="12" borderId="0" xfId="0" applyFill="1" applyAlignment="1">
      <alignment horizontal="center"/>
    </xf>
    <xf numFmtId="41" fontId="0" fillId="12" borderId="0" xfId="1" applyFont="1" applyFill="1" applyBorder="1" applyAlignment="1">
      <alignment horizontal="center"/>
    </xf>
    <xf numFmtId="41" fontId="0" fillId="12" borderId="0" xfId="0" applyNumberFormat="1" applyFill="1" applyAlignment="1">
      <alignment horizontal="center"/>
    </xf>
    <xf numFmtId="0" fontId="0" fillId="12" borderId="0" xfId="1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8" fillId="17" borderId="1" xfId="0" applyFont="1" applyFill="1" applyBorder="1" applyAlignment="1">
      <alignment horizontal="center"/>
    </xf>
    <xf numFmtId="9" fontId="0" fillId="4" borderId="0" xfId="2" applyFont="1" applyFill="1" applyBorder="1" applyAlignment="1">
      <alignment horizontal="center"/>
    </xf>
    <xf numFmtId="10" fontId="0" fillId="4" borderId="0" xfId="2" applyNumberFormat="1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0" fontId="8" fillId="16" borderId="1" xfId="2" applyNumberFormat="1" applyFont="1" applyFill="1" applyBorder="1" applyAlignment="1">
      <alignment horizontal="center"/>
    </xf>
    <xf numFmtId="10" fontId="0" fillId="3" borderId="0" xfId="2" applyNumberFormat="1" applyFont="1" applyFill="1" applyBorder="1" applyAlignment="1">
      <alignment horizontal="center"/>
    </xf>
    <xf numFmtId="41" fontId="0" fillId="11" borderId="0" xfId="1" applyFont="1" applyFill="1" applyBorder="1" applyAlignment="1">
      <alignment horizontal="center"/>
    </xf>
    <xf numFmtId="41" fontId="0" fillId="5" borderId="0" xfId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19" borderId="0" xfId="0" applyFill="1"/>
    <xf numFmtId="0" fontId="8" fillId="19" borderId="0" xfId="0" applyFont="1" applyFill="1"/>
    <xf numFmtId="0" fontId="7" fillId="20" borderId="0" xfId="0" applyFont="1" applyFill="1"/>
    <xf numFmtId="3" fontId="0" fillId="2" borderId="0" xfId="0" applyNumberFormat="1" applyFill="1"/>
    <xf numFmtId="3" fontId="0" fillId="19" borderId="0" xfId="0" applyNumberFormat="1" applyFill="1"/>
    <xf numFmtId="10" fontId="0" fillId="19" borderId="0" xfId="2" applyNumberFormat="1" applyFont="1" applyFill="1" applyBorder="1"/>
    <xf numFmtId="0" fontId="2" fillId="19" borderId="2" xfId="0" applyFont="1" applyFill="1" applyBorder="1" applyAlignment="1">
      <alignment horizontal="center"/>
    </xf>
    <xf numFmtId="0" fontId="4" fillId="19" borderId="0" xfId="0" applyFont="1" applyFill="1"/>
    <xf numFmtId="0" fontId="0" fillId="21" borderId="0" xfId="0" applyFill="1"/>
    <xf numFmtId="0" fontId="5" fillId="22" borderId="1" xfId="0" applyFont="1" applyFill="1" applyBorder="1" applyAlignment="1">
      <alignment vertical="center"/>
    </xf>
    <xf numFmtId="0" fontId="8" fillId="22" borderId="1" xfId="0" applyFont="1" applyFill="1" applyBorder="1"/>
    <xf numFmtId="9" fontId="10" fillId="4" borderId="0" xfId="2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9" fontId="0" fillId="3" borderId="0" xfId="0" applyNumberFormat="1" applyFill="1"/>
    <xf numFmtId="41" fontId="0" fillId="3" borderId="0" xfId="1" applyFont="1" applyFill="1"/>
    <xf numFmtId="0" fontId="0" fillId="23" borderId="0" xfId="0" applyFill="1"/>
    <xf numFmtId="41" fontId="0" fillId="23" borderId="0" xfId="1" applyFont="1" applyFill="1"/>
    <xf numFmtId="10" fontId="0" fillId="23" borderId="0" xfId="2" applyNumberFormat="1" applyFont="1" applyFill="1"/>
    <xf numFmtId="164" fontId="0" fillId="23" borderId="0" xfId="1" applyNumberFormat="1" applyFont="1" applyFill="1"/>
    <xf numFmtId="41" fontId="0" fillId="23" borderId="0" xfId="1" applyFont="1" applyFill="1" applyBorder="1"/>
    <xf numFmtId="41" fontId="0" fillId="23" borderId="0" xfId="1" applyFont="1" applyFill="1" applyAlignment="1"/>
    <xf numFmtId="0" fontId="7" fillId="24" borderId="0" xfId="0" applyFont="1" applyFill="1"/>
    <xf numFmtId="0" fontId="0" fillId="3" borderId="2" xfId="0" applyFill="1" applyBorder="1"/>
    <xf numFmtId="0" fontId="0" fillId="23" borderId="2" xfId="0" applyFill="1" applyBorder="1"/>
    <xf numFmtId="0" fontId="8" fillId="11" borderId="0" xfId="0" applyFont="1" applyFill="1" applyAlignment="1">
      <alignment horizontal="right"/>
    </xf>
    <xf numFmtId="41" fontId="8" fillId="11" borderId="0" xfId="1" applyFont="1" applyFill="1"/>
    <xf numFmtId="0" fontId="8" fillId="25" borderId="0" xfId="0" applyFont="1" applyFill="1" applyAlignment="1">
      <alignment horizontal="right"/>
    </xf>
    <xf numFmtId="10" fontId="8" fillId="25" borderId="0" xfId="0" applyNumberFormat="1" applyFont="1" applyFill="1"/>
    <xf numFmtId="41" fontId="0" fillId="3" borderId="0" xfId="1" applyFont="1" applyFill="1" applyBorder="1"/>
    <xf numFmtId="9" fontId="0" fillId="3" borderId="2" xfId="0" applyNumberFormat="1" applyFill="1" applyBorder="1"/>
    <xf numFmtId="0" fontId="0" fillId="23" borderId="2" xfId="0" applyFill="1" applyBorder="1" applyAlignment="1">
      <alignment horizontal="right"/>
    </xf>
    <xf numFmtId="41" fontId="0" fillId="23" borderId="2" xfId="1" applyFont="1" applyFill="1" applyBorder="1" applyAlignment="1">
      <alignment horizontal="center"/>
    </xf>
    <xf numFmtId="0" fontId="0" fillId="23" borderId="0" xfId="0" applyFill="1" applyAlignment="1">
      <alignment horizontal="right"/>
    </xf>
    <xf numFmtId="41" fontId="0" fillId="23" borderId="0" xfId="1" applyFont="1" applyFill="1" applyBorder="1" applyAlignment="1">
      <alignment horizontal="center"/>
    </xf>
    <xf numFmtId="9" fontId="0" fillId="3" borderId="0" xfId="0" applyNumberFormat="1" applyFill="1" applyAlignment="1">
      <alignment horizontal="center"/>
    </xf>
    <xf numFmtId="41" fontId="0" fillId="3" borderId="0" xfId="1" applyFont="1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9" fontId="0" fillId="23" borderId="0" xfId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9" fontId="0" fillId="5" borderId="0" xfId="0" applyNumberFormat="1" applyFill="1" applyAlignment="1">
      <alignment horizontal="center"/>
    </xf>
    <xf numFmtId="0" fontId="0" fillId="5" borderId="2" xfId="0" applyFill="1" applyBorder="1" applyAlignment="1">
      <alignment horizontal="right"/>
    </xf>
    <xf numFmtId="9" fontId="0" fillId="5" borderId="2" xfId="0" applyNumberFormat="1" applyFill="1" applyBorder="1" applyAlignment="1">
      <alignment horizontal="center"/>
    </xf>
    <xf numFmtId="9" fontId="0" fillId="5" borderId="0" xfId="0" applyNumberFormat="1" applyFill="1"/>
    <xf numFmtId="0" fontId="0" fillId="5" borderId="2" xfId="0" applyFill="1" applyBorder="1"/>
    <xf numFmtId="41" fontId="0" fillId="5" borderId="0" xfId="1" applyFont="1" applyFill="1"/>
    <xf numFmtId="0" fontId="8" fillId="13" borderId="0" xfId="0" applyFont="1" applyFill="1" applyAlignment="1">
      <alignment horizontal="right"/>
    </xf>
    <xf numFmtId="41" fontId="8" fillId="13" borderId="0" xfId="1" applyFont="1" applyFill="1"/>
    <xf numFmtId="0" fontId="11" fillId="2" borderId="0" xfId="0" applyFont="1" applyFill="1" applyAlignment="1">
      <alignment vertical="center"/>
    </xf>
    <xf numFmtId="41" fontId="0" fillId="3" borderId="0" xfId="0" applyNumberFormat="1" applyFill="1"/>
    <xf numFmtId="41" fontId="0" fillId="6" borderId="0" xfId="1" applyFont="1" applyFill="1"/>
    <xf numFmtId="9" fontId="0" fillId="6" borderId="0" xfId="0" applyNumberFormat="1" applyFill="1"/>
    <xf numFmtId="41" fontId="0" fillId="6" borderId="0" xfId="0" applyNumberFormat="1" applyFill="1"/>
    <xf numFmtId="0" fontId="0" fillId="6" borderId="0" xfId="0" applyFill="1" applyAlignment="1">
      <alignment horizontal="left" vertical="center" indent="1"/>
    </xf>
    <xf numFmtId="0" fontId="12" fillId="6" borderId="0" xfId="0" applyFont="1" applyFill="1" applyAlignment="1">
      <alignment horizontal="left" vertical="center" indent="1"/>
    </xf>
    <xf numFmtId="0" fontId="8" fillId="14" borderId="0" xfId="0" applyFont="1" applyFill="1" applyAlignment="1">
      <alignment horizontal="right"/>
    </xf>
    <xf numFmtId="41" fontId="0" fillId="4" borderId="0" xfId="1" applyFont="1" applyFill="1"/>
    <xf numFmtId="0" fontId="11" fillId="4" borderId="0" xfId="0" applyFont="1" applyFill="1" applyAlignment="1">
      <alignment vertical="center"/>
    </xf>
    <xf numFmtId="9" fontId="0" fillId="4" borderId="0" xfId="0" applyNumberFormat="1" applyFill="1"/>
    <xf numFmtId="41" fontId="0" fillId="4" borderId="0" xfId="0" applyNumberFormat="1" applyFill="1"/>
    <xf numFmtId="0" fontId="7" fillId="8" borderId="0" xfId="0" applyFont="1" applyFill="1"/>
    <xf numFmtId="0" fontId="8" fillId="12" borderId="0" xfId="0" applyFont="1" applyFill="1" applyAlignment="1">
      <alignment horizontal="right"/>
    </xf>
    <xf numFmtId="41" fontId="0" fillId="4" borderId="0" xfId="0" applyNumberFormat="1" applyFill="1" applyAlignment="1">
      <alignment horizontal="right"/>
    </xf>
    <xf numFmtId="0" fontId="0" fillId="6" borderId="2" xfId="0" applyFill="1" applyBorder="1"/>
    <xf numFmtId="9" fontId="0" fillId="6" borderId="2" xfId="0" applyNumberFormat="1" applyFill="1" applyBorder="1"/>
    <xf numFmtId="0" fontId="0" fillId="4" borderId="2" xfId="0" applyFill="1" applyBorder="1"/>
    <xf numFmtId="9" fontId="0" fillId="4" borderId="2" xfId="0" applyNumberFormat="1" applyFill="1" applyBorder="1"/>
    <xf numFmtId="41" fontId="8" fillId="12" borderId="4" xfId="1" applyFont="1" applyFill="1" applyBorder="1"/>
    <xf numFmtId="9" fontId="8" fillId="12" borderId="4" xfId="0" applyNumberFormat="1" applyFont="1" applyFill="1" applyBorder="1"/>
    <xf numFmtId="0" fontId="8" fillId="12" borderId="4" xfId="0" applyFont="1" applyFill="1" applyBorder="1" applyAlignment="1">
      <alignment horizontal="right"/>
    </xf>
    <xf numFmtId="41" fontId="8" fillId="14" borderId="4" xfId="1" applyFont="1" applyFill="1" applyBorder="1"/>
    <xf numFmtId="9" fontId="8" fillId="14" borderId="4" xfId="0" applyNumberFormat="1" applyFont="1" applyFill="1" applyBorder="1"/>
    <xf numFmtId="0" fontId="8" fillId="14" borderId="4" xfId="0" applyFont="1" applyFill="1" applyBorder="1" applyAlignment="1">
      <alignment horizontal="right"/>
    </xf>
    <xf numFmtId="41" fontId="8" fillId="11" borderId="4" xfId="1" applyFont="1" applyFill="1" applyBorder="1" applyAlignment="1">
      <alignment horizontal="right"/>
    </xf>
    <xf numFmtId="9" fontId="8" fillId="11" borderId="4" xfId="1" applyNumberFormat="1" applyFont="1" applyFill="1" applyBorder="1" applyAlignment="1">
      <alignment horizontal="right"/>
    </xf>
    <xf numFmtId="0" fontId="8" fillId="11" borderId="4" xfId="0" applyFont="1" applyFill="1" applyBorder="1" applyAlignment="1">
      <alignment horizontal="right"/>
    </xf>
    <xf numFmtId="10" fontId="0" fillId="5" borderId="3" xfId="2" applyNumberFormat="1" applyFont="1" applyFill="1" applyBorder="1" applyAlignment="1">
      <alignment horizontal="left" wrapText="1"/>
    </xf>
    <xf numFmtId="10" fontId="0" fillId="5" borderId="0" xfId="2" applyNumberFormat="1" applyFont="1" applyFill="1" applyBorder="1" applyAlignment="1">
      <alignment horizontal="left" wrapText="1"/>
    </xf>
    <xf numFmtId="0" fontId="5" fillId="6" borderId="0" xfId="0" applyFont="1" applyFill="1" applyAlignment="1">
      <alignment horizontal="left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6ED1-0304-4683-AFE6-50AF089922D0}">
  <dimension ref="A1:AA69"/>
  <sheetViews>
    <sheetView topLeftCell="A16" workbookViewId="0">
      <selection activeCell="H19" sqref="H19"/>
    </sheetView>
  </sheetViews>
  <sheetFormatPr defaultColWidth="9" defaultRowHeight="15"/>
  <cols>
    <col min="1" max="1" width="4.140625" style="1" customWidth="1"/>
    <col min="2" max="2" width="25" style="5" customWidth="1"/>
    <col min="3" max="4" width="9" style="61"/>
    <col min="5" max="5" width="5.42578125" style="1" customWidth="1"/>
    <col min="6" max="6" width="26.28515625" style="9" customWidth="1"/>
    <col min="7" max="8" width="9" style="55"/>
    <col min="9" max="9" width="5.140625" style="1" customWidth="1"/>
    <col min="10" max="10" width="23.85546875" style="11" customWidth="1"/>
    <col min="11" max="11" width="10.85546875" style="12" customWidth="1"/>
    <col min="12" max="12" width="14.42578125" style="12" customWidth="1"/>
    <col min="13" max="13" width="5.85546875" style="1" customWidth="1"/>
    <col min="14" max="14" width="18" style="15" customWidth="1"/>
    <col min="15" max="15" width="10.85546875" style="15" customWidth="1"/>
    <col min="16" max="16" width="10.42578125" style="15" customWidth="1"/>
    <col min="17" max="17" width="9" style="15"/>
    <col min="18" max="18" width="9" style="1"/>
    <col min="19" max="19" width="26" style="68" customWidth="1"/>
    <col min="20" max="20" width="10.42578125" style="68" customWidth="1"/>
    <col min="21" max="21" width="11" style="68" customWidth="1"/>
    <col min="22" max="16384" width="9" style="1"/>
  </cols>
  <sheetData>
    <row r="1" spans="1:27">
      <c r="B1" s="1"/>
      <c r="C1" s="2"/>
      <c r="D1" s="2"/>
      <c r="F1" s="1"/>
      <c r="G1" s="2"/>
      <c r="H1" s="2"/>
      <c r="J1" s="1"/>
      <c r="K1" s="2"/>
      <c r="L1" s="2"/>
      <c r="N1" s="1"/>
      <c r="O1" s="1"/>
      <c r="P1" s="1"/>
      <c r="Q1" s="1"/>
      <c r="S1" s="1"/>
      <c r="T1" s="1"/>
      <c r="U1" s="1"/>
    </row>
    <row r="2" spans="1:27" s="22" customFormat="1">
      <c r="B2" s="19" t="s">
        <v>24</v>
      </c>
      <c r="C2" s="59"/>
      <c r="D2" s="59"/>
      <c r="F2" s="23" t="s">
        <v>4</v>
      </c>
      <c r="G2" s="49"/>
      <c r="H2" s="49"/>
      <c r="J2" s="24" t="s">
        <v>46</v>
      </c>
      <c r="K2" s="44"/>
      <c r="L2" s="44"/>
      <c r="N2" s="25" t="s">
        <v>53</v>
      </c>
      <c r="O2" s="26"/>
      <c r="P2" s="26"/>
      <c r="Q2" s="26"/>
      <c r="S2" s="70" t="s">
        <v>63</v>
      </c>
      <c r="T2" s="70"/>
      <c r="U2" s="70"/>
    </row>
    <row r="3" spans="1:27" s="20" customFormat="1">
      <c r="A3" s="27"/>
      <c r="B3" s="28"/>
      <c r="C3" s="60">
        <v>2023</v>
      </c>
      <c r="D3" s="60">
        <v>2022</v>
      </c>
      <c r="F3" s="21"/>
      <c r="G3" s="50">
        <v>2023</v>
      </c>
      <c r="H3" s="50">
        <v>2022</v>
      </c>
      <c r="J3" s="33" t="s">
        <v>54</v>
      </c>
      <c r="K3" s="32">
        <v>2023</v>
      </c>
      <c r="L3" s="32">
        <v>2022</v>
      </c>
      <c r="N3" s="18" t="s">
        <v>54</v>
      </c>
      <c r="O3" s="18">
        <v>2022</v>
      </c>
      <c r="P3" s="18">
        <v>2021</v>
      </c>
      <c r="Q3" s="18">
        <v>2020</v>
      </c>
      <c r="S3" s="69" t="s">
        <v>54</v>
      </c>
      <c r="T3" s="69">
        <v>2022</v>
      </c>
      <c r="U3" s="69">
        <v>2021</v>
      </c>
    </row>
    <row r="4" spans="1:27">
      <c r="A4" s="4"/>
      <c r="B4" s="29" t="s">
        <v>25</v>
      </c>
      <c r="C4" s="64">
        <v>1000</v>
      </c>
      <c r="D4" s="64">
        <v>800</v>
      </c>
      <c r="F4" s="31" t="s">
        <v>13</v>
      </c>
      <c r="G4" s="51"/>
      <c r="H4" s="51"/>
      <c r="J4" s="35" t="s">
        <v>35</v>
      </c>
      <c r="K4" s="45">
        <v>450</v>
      </c>
      <c r="L4" s="45">
        <v>300</v>
      </c>
      <c r="N4" s="36" t="s">
        <v>57</v>
      </c>
      <c r="O4" s="37">
        <v>1200</v>
      </c>
      <c r="P4" s="37">
        <v>1000</v>
      </c>
      <c r="Q4" s="36">
        <v>800</v>
      </c>
      <c r="S4" s="76" t="s">
        <v>64</v>
      </c>
      <c r="T4" s="76">
        <v>400</v>
      </c>
      <c r="U4" s="76">
        <v>350</v>
      </c>
    </row>
    <row r="5" spans="1:27">
      <c r="A5" s="4"/>
      <c r="B5" s="29" t="s">
        <v>26</v>
      </c>
      <c r="C5" s="64">
        <v>600</v>
      </c>
      <c r="D5" s="64">
        <v>550</v>
      </c>
      <c r="F5" s="30" t="s">
        <v>5</v>
      </c>
      <c r="G5" s="52">
        <v>120</v>
      </c>
      <c r="H5" s="52">
        <v>100</v>
      </c>
      <c r="J5" s="35" t="s">
        <v>2</v>
      </c>
      <c r="K5" s="45">
        <v>300</v>
      </c>
      <c r="L5" s="45">
        <v>200</v>
      </c>
      <c r="N5" s="36" t="s">
        <v>47</v>
      </c>
      <c r="O5" s="36">
        <v>600</v>
      </c>
      <c r="P5" s="36">
        <v>500</v>
      </c>
      <c r="Q5" s="36">
        <v>400</v>
      </c>
      <c r="S5" s="76" t="s">
        <v>3</v>
      </c>
      <c r="T5" s="76">
        <v>200</v>
      </c>
      <c r="U5" s="76">
        <v>180</v>
      </c>
    </row>
    <row r="6" spans="1:27">
      <c r="A6" s="4"/>
      <c r="B6" s="29" t="s">
        <v>27</v>
      </c>
      <c r="C6" s="64">
        <f>+C4-C5</f>
        <v>400</v>
      </c>
      <c r="D6" s="64">
        <f>+D4-D5</f>
        <v>250</v>
      </c>
      <c r="F6" s="30" t="s">
        <v>6</v>
      </c>
      <c r="G6" s="52">
        <v>220</v>
      </c>
      <c r="H6" s="52">
        <v>200</v>
      </c>
      <c r="J6" s="35" t="s">
        <v>3</v>
      </c>
      <c r="K6" s="45">
        <v>150</v>
      </c>
      <c r="L6" s="45">
        <v>100</v>
      </c>
      <c r="N6" s="36" t="s">
        <v>19</v>
      </c>
      <c r="O6" s="36">
        <v>600</v>
      </c>
      <c r="P6" s="36">
        <v>500</v>
      </c>
      <c r="Q6" s="36">
        <v>400</v>
      </c>
      <c r="S6" s="76" t="s">
        <v>65</v>
      </c>
      <c r="T6" s="76">
        <v>1200</v>
      </c>
      <c r="U6" s="76">
        <v>1100</v>
      </c>
    </row>
    <row r="7" spans="1:27">
      <c r="A7" s="4"/>
      <c r="B7" s="29" t="s">
        <v>28</v>
      </c>
      <c r="C7" s="64">
        <v>200</v>
      </c>
      <c r="D7" s="64">
        <v>150</v>
      </c>
      <c r="F7" s="30" t="s">
        <v>7</v>
      </c>
      <c r="G7" s="52">
        <v>600</v>
      </c>
      <c r="H7" s="52">
        <v>500</v>
      </c>
      <c r="J7" s="35" t="s">
        <v>32</v>
      </c>
      <c r="K7" s="45">
        <v>800</v>
      </c>
      <c r="L7" s="45">
        <v>700</v>
      </c>
      <c r="N7" s="17"/>
      <c r="O7" s="17"/>
      <c r="P7" s="17"/>
      <c r="Q7" s="17"/>
    </row>
    <row r="8" spans="1:27">
      <c r="A8" s="4"/>
      <c r="B8" s="29" t="s">
        <v>29</v>
      </c>
      <c r="C8" s="64">
        <f>C6-C7</f>
        <v>200</v>
      </c>
      <c r="D8" s="64">
        <f>D6-D7</f>
        <v>100</v>
      </c>
      <c r="F8" s="30" t="s">
        <v>33</v>
      </c>
      <c r="G8" s="52">
        <f>SUM(G5:G7)</f>
        <v>940</v>
      </c>
      <c r="H8" s="52">
        <f>SUM(H5:H7)</f>
        <v>800</v>
      </c>
      <c r="J8" s="34"/>
      <c r="K8" s="46"/>
      <c r="L8" s="46"/>
      <c r="N8" s="18" t="s">
        <v>55</v>
      </c>
      <c r="O8" s="18">
        <v>2022</v>
      </c>
      <c r="P8" s="18">
        <v>2021</v>
      </c>
      <c r="Q8" s="18">
        <v>2020</v>
      </c>
      <c r="S8" s="69" t="s">
        <v>55</v>
      </c>
      <c r="T8" s="69">
        <v>2022</v>
      </c>
      <c r="U8" s="69">
        <v>2021</v>
      </c>
    </row>
    <row r="9" spans="1:27">
      <c r="A9" s="4"/>
      <c r="F9" s="30" t="s">
        <v>8</v>
      </c>
      <c r="G9" s="52">
        <v>1100</v>
      </c>
      <c r="H9" s="52">
        <v>1200</v>
      </c>
      <c r="J9" s="33" t="s">
        <v>55</v>
      </c>
      <c r="K9" s="32">
        <v>2023</v>
      </c>
      <c r="L9" s="32">
        <v>2022</v>
      </c>
      <c r="N9" s="36" t="s">
        <v>48</v>
      </c>
      <c r="O9" s="37">
        <v>2000</v>
      </c>
      <c r="P9" s="37">
        <v>1800</v>
      </c>
      <c r="Q9" s="37">
        <v>1600</v>
      </c>
      <c r="S9" s="76" t="s">
        <v>66</v>
      </c>
      <c r="T9" s="76">
        <v>2500</v>
      </c>
      <c r="U9" s="76">
        <v>2300</v>
      </c>
    </row>
    <row r="10" spans="1:27">
      <c r="A10" s="4"/>
      <c r="F10" s="30" t="s">
        <v>34</v>
      </c>
      <c r="G10" s="53">
        <f>SUM(G8:G9)</f>
        <v>2040</v>
      </c>
      <c r="H10" s="53">
        <f>SUM(H8:H9)</f>
        <v>2000</v>
      </c>
      <c r="J10" s="35" t="s">
        <v>36</v>
      </c>
      <c r="K10" s="45">
        <v>1000</v>
      </c>
      <c r="L10" s="45">
        <v>900</v>
      </c>
      <c r="N10" s="36" t="s">
        <v>49</v>
      </c>
      <c r="O10" s="37">
        <v>1500</v>
      </c>
      <c r="P10" s="37">
        <v>1400</v>
      </c>
      <c r="Q10" s="37">
        <v>1200</v>
      </c>
      <c r="S10" s="76" t="s">
        <v>67</v>
      </c>
      <c r="T10" s="76">
        <v>1800</v>
      </c>
      <c r="U10" s="76">
        <v>1600</v>
      </c>
      <c r="V10" s="71"/>
      <c r="Z10" s="71"/>
    </row>
    <row r="11" spans="1:27">
      <c r="A11" s="4"/>
      <c r="F11" s="31" t="s">
        <v>14</v>
      </c>
      <c r="G11" s="54"/>
      <c r="H11" s="54"/>
      <c r="J11" s="35" t="s">
        <v>37</v>
      </c>
      <c r="K11" s="45">
        <v>700</v>
      </c>
      <c r="L11" s="45">
        <v>600</v>
      </c>
      <c r="N11" s="36" t="s">
        <v>29</v>
      </c>
      <c r="O11" s="36">
        <v>500</v>
      </c>
      <c r="P11" s="36">
        <v>400</v>
      </c>
      <c r="Q11" s="36">
        <v>400</v>
      </c>
      <c r="S11" s="76" t="s">
        <v>68</v>
      </c>
      <c r="T11" s="76">
        <v>700</v>
      </c>
      <c r="U11" s="76">
        <v>700</v>
      </c>
    </row>
    <row r="12" spans="1:27">
      <c r="A12" s="4"/>
      <c r="F12" s="30" t="s">
        <v>9</v>
      </c>
      <c r="G12" s="53">
        <v>340</v>
      </c>
      <c r="H12" s="53">
        <v>300</v>
      </c>
      <c r="J12" s="35" t="s">
        <v>29</v>
      </c>
      <c r="K12" s="45">
        <v>300</v>
      </c>
      <c r="L12" s="45">
        <v>300</v>
      </c>
      <c r="N12" s="17"/>
      <c r="O12" s="17"/>
      <c r="P12" s="17"/>
      <c r="Q12" s="17"/>
    </row>
    <row r="13" spans="1:27">
      <c r="A13" s="4"/>
      <c r="F13" s="30" t="s">
        <v>10</v>
      </c>
      <c r="G13" s="53">
        <v>480</v>
      </c>
      <c r="H13" s="53">
        <v>500</v>
      </c>
      <c r="N13" s="18" t="s">
        <v>56</v>
      </c>
      <c r="O13" s="18">
        <v>2022</v>
      </c>
      <c r="P13" s="18">
        <v>2021</v>
      </c>
      <c r="Q13" s="18">
        <v>2020</v>
      </c>
    </row>
    <row r="14" spans="1:27">
      <c r="A14" s="4"/>
      <c r="F14" s="30" t="s">
        <v>11</v>
      </c>
      <c r="G14" s="53">
        <v>1220</v>
      </c>
      <c r="H14" s="53">
        <v>1200</v>
      </c>
      <c r="N14" s="36" t="s">
        <v>50</v>
      </c>
      <c r="O14" s="37">
        <v>2200</v>
      </c>
      <c r="P14" s="37">
        <v>2000</v>
      </c>
      <c r="Q14" s="37">
        <v>1800</v>
      </c>
    </row>
    <row r="15" spans="1:27">
      <c r="A15" s="4"/>
      <c r="F15" s="30" t="s">
        <v>12</v>
      </c>
      <c r="G15" s="53">
        <f>SUM(G12:G14)</f>
        <v>2040</v>
      </c>
      <c r="H15" s="53">
        <f>SUM(H12:H14)</f>
        <v>2000</v>
      </c>
      <c r="N15" s="36" t="s">
        <v>51</v>
      </c>
      <c r="O15" s="36">
        <v>550</v>
      </c>
      <c r="P15" s="36">
        <v>500</v>
      </c>
      <c r="Q15" s="36">
        <v>450</v>
      </c>
    </row>
    <row r="16" spans="1:27">
      <c r="A16" s="4"/>
      <c r="F16" s="10"/>
      <c r="U16" s="72"/>
      <c r="Y16" s="71"/>
      <c r="Z16" s="1" t="s">
        <v>1</v>
      </c>
      <c r="AA16" s="1" t="s">
        <v>1</v>
      </c>
    </row>
    <row r="17" spans="1:27">
      <c r="A17" s="4"/>
      <c r="B17" s="41" t="s">
        <v>30</v>
      </c>
      <c r="C17" s="62"/>
      <c r="D17" s="62"/>
      <c r="E17" s="4"/>
      <c r="F17" s="42" t="s">
        <v>30</v>
      </c>
      <c r="G17" s="56"/>
      <c r="H17" s="56"/>
      <c r="J17" s="43" t="s">
        <v>45</v>
      </c>
      <c r="K17" s="47"/>
      <c r="L17" s="47"/>
      <c r="N17" s="39" t="s">
        <v>30</v>
      </c>
      <c r="O17" s="40"/>
      <c r="P17" s="40"/>
      <c r="Q17" s="40"/>
      <c r="S17" s="77" t="s">
        <v>30</v>
      </c>
      <c r="T17" s="78"/>
      <c r="U17" s="78"/>
      <c r="Y17" s="71"/>
      <c r="Z17" s="1" t="s">
        <v>1</v>
      </c>
      <c r="AA17" s="1" t="s">
        <v>1</v>
      </c>
    </row>
    <row r="18" spans="1:27">
      <c r="A18" s="4"/>
      <c r="B18" s="7"/>
      <c r="C18" s="63"/>
      <c r="D18" s="63"/>
      <c r="E18" s="4"/>
      <c r="J18" s="13" t="s">
        <v>38</v>
      </c>
      <c r="N18" s="17"/>
      <c r="O18" s="17"/>
      <c r="P18" s="17"/>
      <c r="Q18" s="17"/>
      <c r="Z18" s="1" t="s">
        <v>1</v>
      </c>
      <c r="AA18" s="1" t="s">
        <v>1</v>
      </c>
    </row>
    <row r="19" spans="1:27">
      <c r="B19" s="8"/>
      <c r="C19" s="63"/>
      <c r="D19" s="63"/>
      <c r="E19" s="4"/>
      <c r="F19" s="10" t="s">
        <v>15</v>
      </c>
      <c r="G19" s="57">
        <f>(G5-H5)/H5</f>
        <v>0.2</v>
      </c>
      <c r="H19" s="55" t="s">
        <v>20</v>
      </c>
      <c r="J19" s="13"/>
      <c r="K19" s="66">
        <v>2023</v>
      </c>
      <c r="L19" s="66">
        <v>2022</v>
      </c>
      <c r="N19" s="18" t="s">
        <v>69</v>
      </c>
      <c r="O19" s="67" t="s">
        <v>59</v>
      </c>
      <c r="P19" s="67" t="s">
        <v>58</v>
      </c>
      <c r="Q19" s="17"/>
      <c r="S19" s="69" t="s">
        <v>69</v>
      </c>
      <c r="U19" s="74" t="s">
        <v>59</v>
      </c>
    </row>
    <row r="20" spans="1:27">
      <c r="B20" s="6" t="s">
        <v>25</v>
      </c>
      <c r="C20" s="63">
        <f>(C4-D4)/D4</f>
        <v>0.25</v>
      </c>
      <c r="D20" s="63" t="s">
        <v>20</v>
      </c>
      <c r="E20" s="4"/>
      <c r="F20" s="10" t="s">
        <v>16</v>
      </c>
      <c r="G20" s="57">
        <f>(G6-H6)/H6</f>
        <v>0.1</v>
      </c>
      <c r="H20" s="55" t="s">
        <v>20</v>
      </c>
      <c r="K20" s="48">
        <f>K12/K10</f>
        <v>0.3</v>
      </c>
      <c r="L20" s="48">
        <f>L12/L10</f>
        <v>0.33333333333333331</v>
      </c>
      <c r="O20" s="38">
        <f>(O4-P4)/P4</f>
        <v>0.2</v>
      </c>
      <c r="P20" s="38">
        <f>(P4-Q4)/Q4</f>
        <v>0.25</v>
      </c>
      <c r="S20" s="75"/>
      <c r="U20" s="73">
        <f>(T6-U6)/U6</f>
        <v>9.0909090909090912E-2</v>
      </c>
    </row>
    <row r="21" spans="1:27">
      <c r="B21" s="6" t="s">
        <v>26</v>
      </c>
      <c r="C21" s="63">
        <f>(C5-D5)/D5</f>
        <v>9.0909090909090912E-2</v>
      </c>
      <c r="D21" s="63" t="s">
        <v>20</v>
      </c>
      <c r="F21" s="10" t="s">
        <v>17</v>
      </c>
      <c r="G21" s="57">
        <f>(G7-H7)/H7</f>
        <v>0.2</v>
      </c>
      <c r="H21" s="55" t="s">
        <v>20</v>
      </c>
    </row>
    <row r="22" spans="1:27">
      <c r="B22" s="6" t="s">
        <v>27</v>
      </c>
      <c r="C22" s="63">
        <f>(C6-D6)/D6</f>
        <v>0.6</v>
      </c>
      <c r="D22" s="63" t="s">
        <v>20</v>
      </c>
      <c r="F22" s="10" t="s">
        <v>18</v>
      </c>
      <c r="G22" s="79">
        <f>(G9-H9)/H9</f>
        <v>-8.3333333333333329E-2</v>
      </c>
      <c r="H22" s="80" t="s">
        <v>21</v>
      </c>
      <c r="J22" s="43" t="s">
        <v>39</v>
      </c>
      <c r="K22" s="47"/>
      <c r="L22" s="47"/>
      <c r="N22" s="18" t="s">
        <v>74</v>
      </c>
      <c r="O22" s="67" t="s">
        <v>59</v>
      </c>
      <c r="P22" s="67" t="s">
        <v>58</v>
      </c>
      <c r="Q22" s="17"/>
      <c r="S22" s="69" t="s">
        <v>70</v>
      </c>
      <c r="U22" s="74" t="s">
        <v>59</v>
      </c>
    </row>
    <row r="23" spans="1:27">
      <c r="B23" s="6" t="s">
        <v>28</v>
      </c>
      <c r="C23" s="63">
        <f>(C7-D7)/D7</f>
        <v>0.33333333333333331</v>
      </c>
      <c r="D23" s="63" t="s">
        <v>20</v>
      </c>
      <c r="F23" s="10" t="s">
        <v>3</v>
      </c>
      <c r="G23" s="79">
        <f>(G12-H12)/H12</f>
        <v>0.13333333333333333</v>
      </c>
      <c r="H23" s="80" t="s">
        <v>20</v>
      </c>
      <c r="J23" s="143" t="s">
        <v>40</v>
      </c>
      <c r="K23" s="143"/>
      <c r="L23" s="143"/>
      <c r="N23" s="16" t="s">
        <v>52</v>
      </c>
      <c r="O23" s="38">
        <f>(O5-P5)/P5</f>
        <v>0.2</v>
      </c>
      <c r="P23" s="38">
        <f>(P5-Q5)/Q5</f>
        <v>0.25</v>
      </c>
      <c r="Q23" s="17"/>
      <c r="U23" s="73">
        <f>(T10-U10)/U10</f>
        <v>0.125</v>
      </c>
    </row>
    <row r="24" spans="1:27">
      <c r="B24" s="6" t="s">
        <v>29</v>
      </c>
      <c r="C24" s="63">
        <f>(C8-D8)/D8</f>
        <v>1</v>
      </c>
      <c r="D24" s="63" t="s">
        <v>20</v>
      </c>
      <c r="F24" s="10" t="s">
        <v>2</v>
      </c>
      <c r="G24" s="79">
        <f>(G13-H13)/H13</f>
        <v>-0.04</v>
      </c>
      <c r="H24" s="80" t="s">
        <v>21</v>
      </c>
      <c r="J24" s="144"/>
      <c r="K24" s="144"/>
      <c r="L24" s="144"/>
      <c r="N24" s="16"/>
      <c r="Q24" s="17"/>
    </row>
    <row r="25" spans="1:27">
      <c r="B25" s="6"/>
      <c r="F25" s="10" t="s">
        <v>19</v>
      </c>
      <c r="G25" s="57">
        <f>(G14-H14)/H14</f>
        <v>1.6666666666666666E-2</v>
      </c>
      <c r="H25" s="55" t="s">
        <v>20</v>
      </c>
      <c r="J25" s="13"/>
      <c r="K25" s="66">
        <v>2023</v>
      </c>
      <c r="L25" s="66">
        <v>2022</v>
      </c>
      <c r="N25" s="18" t="s">
        <v>75</v>
      </c>
      <c r="O25" s="67" t="s">
        <v>59</v>
      </c>
      <c r="P25" s="67" t="s">
        <v>58</v>
      </c>
      <c r="Q25" s="17"/>
      <c r="S25" s="69" t="s">
        <v>71</v>
      </c>
      <c r="U25" s="74" t="s">
        <v>59</v>
      </c>
    </row>
    <row r="26" spans="1:27">
      <c r="J26" s="13"/>
      <c r="K26" s="65">
        <f>+K4/K6</f>
        <v>3</v>
      </c>
      <c r="L26" s="65">
        <f>+L4/L6</f>
        <v>3</v>
      </c>
      <c r="N26" s="16"/>
      <c r="O26" s="38">
        <f>(O6-P6)/P6</f>
        <v>0.2</v>
      </c>
      <c r="P26" s="38">
        <f>(P6-Q6)/Q6</f>
        <v>0.25</v>
      </c>
      <c r="Q26" s="17"/>
      <c r="U26" s="73">
        <f>(T5-U5)/U5</f>
        <v>0.1111111111111111</v>
      </c>
    </row>
    <row r="27" spans="1:27">
      <c r="B27" s="41" t="s">
        <v>31</v>
      </c>
      <c r="C27" s="62"/>
      <c r="D27" s="62"/>
      <c r="E27" s="4"/>
      <c r="F27" s="42" t="s">
        <v>22</v>
      </c>
      <c r="G27" s="56"/>
      <c r="H27" s="56"/>
      <c r="K27" s="11"/>
      <c r="L27" s="11"/>
      <c r="N27" s="16"/>
      <c r="Q27" s="17"/>
    </row>
    <row r="28" spans="1:27">
      <c r="B28" s="6"/>
      <c r="D28" s="63"/>
      <c r="E28" s="4"/>
      <c r="J28" s="43" t="s">
        <v>41</v>
      </c>
      <c r="K28" s="47"/>
      <c r="L28" s="47"/>
      <c r="N28" s="18" t="s">
        <v>72</v>
      </c>
      <c r="O28" s="67" t="s">
        <v>59</v>
      </c>
      <c r="P28" s="67" t="s">
        <v>58</v>
      </c>
      <c r="Q28" s="17"/>
      <c r="S28" s="69" t="s">
        <v>72</v>
      </c>
      <c r="U28" s="74" t="s">
        <v>59</v>
      </c>
    </row>
    <row r="29" spans="1:27">
      <c r="B29" s="6" t="s">
        <v>26</v>
      </c>
      <c r="C29" s="63">
        <f>C5/$C$4</f>
        <v>0.6</v>
      </c>
      <c r="D29" s="63"/>
      <c r="E29" s="4"/>
      <c r="F29" s="10" t="s">
        <v>15</v>
      </c>
      <c r="G29" s="58">
        <f>H5/$H$10</f>
        <v>0.05</v>
      </c>
      <c r="J29" s="143" t="s">
        <v>42</v>
      </c>
      <c r="K29" s="143"/>
      <c r="L29" s="143"/>
      <c r="N29" s="16" t="s">
        <v>52</v>
      </c>
      <c r="O29" s="38">
        <f>(O9-P9)/P9</f>
        <v>0.1111111111111111</v>
      </c>
      <c r="P29" s="38">
        <f>(P9-Q9)/Q9</f>
        <v>0.125</v>
      </c>
      <c r="Q29" s="17"/>
      <c r="U29" s="73">
        <f>(T9-U9)/U9</f>
        <v>8.6956521739130432E-2</v>
      </c>
    </row>
    <row r="30" spans="1:27">
      <c r="B30" s="6" t="s">
        <v>27</v>
      </c>
      <c r="C30" s="63">
        <f>C6/$C$4</f>
        <v>0.4</v>
      </c>
      <c r="D30" s="63"/>
      <c r="E30" s="4"/>
      <c r="F30" s="10" t="s">
        <v>16</v>
      </c>
      <c r="G30" s="58">
        <f>H6/$H$10</f>
        <v>0.1</v>
      </c>
      <c r="J30" s="144"/>
      <c r="K30" s="144"/>
      <c r="L30" s="144"/>
      <c r="Q30" s="17"/>
    </row>
    <row r="31" spans="1:27">
      <c r="B31" s="6" t="s">
        <v>28</v>
      </c>
      <c r="C31" s="63">
        <f>C7/$C$4</f>
        <v>0.2</v>
      </c>
      <c r="F31" s="10" t="s">
        <v>17</v>
      </c>
      <c r="G31" s="58">
        <f>H7/$H$10</f>
        <v>0.25</v>
      </c>
      <c r="J31" s="14"/>
      <c r="K31" s="66">
        <v>2023</v>
      </c>
      <c r="L31" s="66">
        <v>2022</v>
      </c>
      <c r="N31" s="18" t="s">
        <v>73</v>
      </c>
      <c r="O31" s="67" t="s">
        <v>59</v>
      </c>
      <c r="P31" s="67" t="s">
        <v>58</v>
      </c>
      <c r="Q31" s="17"/>
      <c r="S31" s="69" t="s">
        <v>73</v>
      </c>
      <c r="U31" s="74" t="s">
        <v>59</v>
      </c>
    </row>
    <row r="32" spans="1:27">
      <c r="B32" s="6" t="s">
        <v>29</v>
      </c>
      <c r="C32" s="63">
        <f>C8/$C$4</f>
        <v>0.2</v>
      </c>
      <c r="F32" s="10" t="s">
        <v>18</v>
      </c>
      <c r="G32" s="58">
        <f>H9/$H$10</f>
        <v>0.6</v>
      </c>
      <c r="J32" s="13"/>
      <c r="K32" s="65">
        <f>+K4-K6</f>
        <v>300</v>
      </c>
      <c r="L32" s="65">
        <f>+L4-L6</f>
        <v>200</v>
      </c>
      <c r="N32" s="16"/>
      <c r="O32" s="38">
        <f>(O11-P11)/P11</f>
        <v>0.25</v>
      </c>
      <c r="P32" s="38">
        <f>(P11-Q11)/Q11</f>
        <v>0</v>
      </c>
      <c r="Q32" s="17"/>
      <c r="U32" s="73">
        <f>(T11-U11)/U11</f>
        <v>0</v>
      </c>
    </row>
    <row r="33" spans="6:19">
      <c r="F33" s="10"/>
      <c r="K33" s="11"/>
      <c r="L33" s="11"/>
      <c r="N33" s="16"/>
      <c r="O33" s="17"/>
      <c r="P33" s="17"/>
      <c r="Q33" s="17"/>
    </row>
    <row r="34" spans="6:19">
      <c r="F34" s="42" t="s">
        <v>23</v>
      </c>
      <c r="G34" s="56"/>
      <c r="H34" s="56"/>
      <c r="J34" s="43" t="s">
        <v>43</v>
      </c>
      <c r="K34" s="47"/>
      <c r="L34" s="47"/>
      <c r="N34" s="39" t="s">
        <v>60</v>
      </c>
      <c r="O34" s="40"/>
      <c r="P34" s="40"/>
      <c r="Q34" s="40"/>
    </row>
    <row r="35" spans="6:19">
      <c r="J35" s="143" t="s">
        <v>44</v>
      </c>
      <c r="K35" s="143"/>
      <c r="L35" s="143"/>
      <c r="N35" s="16" t="s">
        <v>52</v>
      </c>
      <c r="O35" s="17"/>
      <c r="P35" s="17"/>
      <c r="Q35" s="17"/>
    </row>
    <row r="36" spans="6:19">
      <c r="F36" s="10" t="s">
        <v>15</v>
      </c>
      <c r="G36" s="58">
        <f>G5/$G$10</f>
        <v>5.8823529411764705E-2</v>
      </c>
      <c r="J36" s="144"/>
      <c r="K36" s="144"/>
      <c r="L36" s="144"/>
      <c r="N36" s="145" t="s">
        <v>61</v>
      </c>
      <c r="O36" s="145"/>
      <c r="P36" s="145"/>
      <c r="Q36" s="145"/>
    </row>
    <row r="37" spans="6:19">
      <c r="F37" s="10" t="s">
        <v>16</v>
      </c>
      <c r="G37" s="58">
        <f>G6/$G$10</f>
        <v>0.10784313725490197</v>
      </c>
      <c r="J37" s="13"/>
      <c r="K37" s="66">
        <v>2023</v>
      </c>
      <c r="L37" s="66">
        <v>2022</v>
      </c>
      <c r="N37" s="145"/>
      <c r="O37" s="145"/>
      <c r="P37" s="145"/>
      <c r="Q37" s="145"/>
    </row>
    <row r="38" spans="6:19">
      <c r="F38" s="10" t="s">
        <v>17</v>
      </c>
      <c r="G38" s="58">
        <f>G7/$G$10</f>
        <v>0.29411764705882354</v>
      </c>
      <c r="J38" s="13"/>
      <c r="K38" s="48">
        <f>K4/K7</f>
        <v>0.5625</v>
      </c>
      <c r="L38" s="48">
        <f>L4/L7</f>
        <v>0.42857142857142855</v>
      </c>
      <c r="N38" s="16"/>
      <c r="O38" s="67">
        <v>2022</v>
      </c>
      <c r="P38" s="67">
        <v>2021</v>
      </c>
      <c r="Q38" s="17"/>
    </row>
    <row r="39" spans="6:19">
      <c r="F39" s="10" t="s">
        <v>18</v>
      </c>
      <c r="G39" s="58">
        <f>G9/$G$10</f>
        <v>0.53921568627450978</v>
      </c>
      <c r="N39" s="16"/>
      <c r="O39" s="38">
        <f>O9/O14</f>
        <v>0.90909090909090906</v>
      </c>
      <c r="P39" s="38">
        <f>P9/P14</f>
        <v>0.9</v>
      </c>
      <c r="Q39" s="17"/>
      <c r="S39" s="68" t="s">
        <v>52</v>
      </c>
    </row>
    <row r="40" spans="6:19">
      <c r="J40" s="13"/>
      <c r="N40" s="145" t="s">
        <v>62</v>
      </c>
      <c r="O40" s="145"/>
      <c r="P40" s="145"/>
      <c r="Q40" s="145"/>
    </row>
    <row r="41" spans="6:19">
      <c r="K41" s="11"/>
      <c r="L41" s="11"/>
      <c r="N41" s="145"/>
      <c r="O41" s="145"/>
      <c r="P41" s="145"/>
      <c r="Q41" s="145"/>
    </row>
    <row r="42" spans="6:19">
      <c r="K42" s="11"/>
      <c r="L42" s="11"/>
      <c r="N42" s="16"/>
      <c r="O42" s="67">
        <v>2022</v>
      </c>
      <c r="P42" s="67">
        <v>2021</v>
      </c>
      <c r="Q42" s="17"/>
    </row>
    <row r="43" spans="6:19">
      <c r="F43" s="10"/>
      <c r="K43" s="11"/>
      <c r="L43" s="11"/>
      <c r="N43" s="16" t="s">
        <v>52</v>
      </c>
      <c r="O43" s="38">
        <f>O11/O15</f>
        <v>0.90909090909090906</v>
      </c>
      <c r="P43" s="38">
        <f>P11/P15</f>
        <v>0.8</v>
      </c>
      <c r="Q43" s="17"/>
    </row>
    <row r="44" spans="6:19">
      <c r="F44" s="10"/>
      <c r="K44" s="11"/>
      <c r="L44" s="11"/>
      <c r="N44" s="16"/>
      <c r="O44" s="17"/>
      <c r="P44" s="17"/>
      <c r="Q44" s="17"/>
    </row>
    <row r="45" spans="6:19">
      <c r="F45" s="10"/>
      <c r="J45" s="13"/>
      <c r="N45" s="16"/>
      <c r="O45" s="17"/>
      <c r="P45" s="17"/>
      <c r="Q45" s="17"/>
    </row>
    <row r="46" spans="6:19">
      <c r="F46" s="10"/>
      <c r="N46" s="16"/>
      <c r="O46" s="17"/>
      <c r="P46" s="17"/>
      <c r="Q46" s="17"/>
    </row>
    <row r="47" spans="6:19">
      <c r="J47" s="13"/>
      <c r="N47" s="16"/>
      <c r="O47" s="17"/>
      <c r="P47" s="17"/>
      <c r="Q47" s="17"/>
    </row>
    <row r="48" spans="6:19">
      <c r="J48" s="13"/>
      <c r="N48" s="16"/>
      <c r="O48" s="17"/>
      <c r="P48" s="17"/>
      <c r="Q48" s="17"/>
    </row>
    <row r="49" spans="10:17">
      <c r="J49" s="13"/>
      <c r="N49" s="16" t="s">
        <v>52</v>
      </c>
      <c r="O49" s="17"/>
      <c r="P49" s="17"/>
      <c r="Q49" s="17"/>
    </row>
    <row r="50" spans="10:17">
      <c r="N50" s="16"/>
      <c r="O50" s="17"/>
      <c r="P50" s="17"/>
      <c r="Q50" s="17"/>
    </row>
    <row r="51" spans="10:17">
      <c r="N51" s="16"/>
      <c r="O51" s="17"/>
      <c r="P51" s="17"/>
      <c r="Q51" s="17"/>
    </row>
    <row r="52" spans="10:17">
      <c r="N52" s="16"/>
      <c r="O52" s="17"/>
      <c r="P52" s="17"/>
      <c r="Q52" s="17"/>
    </row>
    <row r="53" spans="10:17">
      <c r="N53" s="16"/>
      <c r="O53" s="17"/>
      <c r="P53" s="17"/>
      <c r="Q53" s="17"/>
    </row>
    <row r="54" spans="10:17">
      <c r="N54" s="16"/>
      <c r="O54" s="17"/>
      <c r="P54" s="17"/>
      <c r="Q54" s="17"/>
    </row>
    <row r="55" spans="10:17">
      <c r="N55" s="17"/>
      <c r="O55" s="17"/>
      <c r="P55" s="17"/>
      <c r="Q55" s="17"/>
    </row>
    <row r="56" spans="10:17">
      <c r="O56" s="17"/>
      <c r="P56" s="17"/>
      <c r="Q56" s="17"/>
    </row>
    <row r="57" spans="10:17">
      <c r="N57" s="16"/>
      <c r="O57" s="17"/>
      <c r="P57" s="17"/>
      <c r="Q57" s="17"/>
    </row>
    <row r="58" spans="10:17">
      <c r="N58" s="16" t="s">
        <v>52</v>
      </c>
      <c r="O58" s="17"/>
      <c r="P58" s="17"/>
      <c r="Q58" s="17"/>
    </row>
    <row r="59" spans="10:17">
      <c r="N59" s="16"/>
      <c r="O59" s="17"/>
      <c r="P59" s="17"/>
      <c r="Q59" s="17"/>
    </row>
    <row r="60" spans="10:17">
      <c r="N60" s="16"/>
      <c r="O60" s="17"/>
      <c r="P60" s="17"/>
      <c r="Q60" s="17"/>
    </row>
    <row r="61" spans="10:17">
      <c r="N61" s="16"/>
      <c r="O61" s="17"/>
      <c r="P61" s="17"/>
      <c r="Q61" s="17"/>
    </row>
    <row r="62" spans="10:17">
      <c r="N62" s="16"/>
      <c r="O62" s="17"/>
      <c r="P62" s="17"/>
      <c r="Q62" s="17"/>
    </row>
    <row r="63" spans="10:17">
      <c r="N63" s="16"/>
      <c r="O63" s="17"/>
      <c r="P63" s="17"/>
      <c r="Q63" s="17"/>
    </row>
    <row r="64" spans="10:17">
      <c r="N64" s="16" t="s">
        <v>52</v>
      </c>
      <c r="O64" s="17"/>
      <c r="P64" s="17"/>
      <c r="Q64" s="17"/>
    </row>
    <row r="65" spans="14:17">
      <c r="N65" s="16"/>
      <c r="O65" s="17"/>
      <c r="P65" s="17"/>
      <c r="Q65" s="17"/>
    </row>
    <row r="66" spans="14:17">
      <c r="N66" s="16"/>
      <c r="O66" s="17"/>
      <c r="P66" s="17"/>
      <c r="Q66" s="17"/>
    </row>
    <row r="67" spans="14:17">
      <c r="N67" s="16"/>
      <c r="O67" s="17"/>
      <c r="P67" s="17"/>
      <c r="Q67" s="17"/>
    </row>
    <row r="68" spans="14:17">
      <c r="N68" s="16"/>
      <c r="O68" s="17"/>
      <c r="P68" s="17"/>
      <c r="Q68" s="17"/>
    </row>
    <row r="69" spans="14:17">
      <c r="N69" s="16"/>
      <c r="O69" s="17"/>
      <c r="P69" s="17"/>
      <c r="Q69" s="17"/>
    </row>
  </sheetData>
  <mergeCells count="5">
    <mergeCell ref="J23:L24"/>
    <mergeCell ref="J29:L30"/>
    <mergeCell ref="J35:L36"/>
    <mergeCell ref="N36:Q37"/>
    <mergeCell ref="N40:Q41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63A4-3C50-4403-AA1B-1F0A6515897B}">
  <dimension ref="A2:H34"/>
  <sheetViews>
    <sheetView topLeftCell="A13" workbookViewId="0">
      <selection activeCell="D23" sqref="D23"/>
    </sheetView>
  </sheetViews>
  <sheetFormatPr defaultColWidth="9" defaultRowHeight="15"/>
  <cols>
    <col min="1" max="1" width="3.140625" style="1" customWidth="1"/>
    <col min="2" max="2" width="32.42578125" style="1" customWidth="1"/>
    <col min="3" max="3" width="9.140625" style="1" customWidth="1"/>
    <col min="4" max="4" width="11" style="1" customWidth="1"/>
    <col min="5" max="5" width="10.28515625" style="1" customWidth="1"/>
    <col min="6" max="16384" width="9" style="1"/>
  </cols>
  <sheetData>
    <row r="2" spans="1:8" s="5" customFormat="1">
      <c r="A2" s="1"/>
      <c r="B2" s="19" t="s">
        <v>76</v>
      </c>
    </row>
    <row r="3" spans="1:8" s="5" customFormat="1">
      <c r="A3" s="1"/>
    </row>
    <row r="4" spans="1:8" s="5" customFormat="1">
      <c r="A4" s="1"/>
      <c r="B4" s="5" t="s">
        <v>78</v>
      </c>
      <c r="C4" s="103">
        <v>50000</v>
      </c>
    </row>
    <row r="5" spans="1:8" s="5" customFormat="1">
      <c r="A5" s="1"/>
      <c r="B5" s="5" t="s">
        <v>79</v>
      </c>
      <c r="C5" s="103">
        <v>15000</v>
      </c>
    </row>
    <row r="6" spans="1:8" s="5" customFormat="1">
      <c r="A6" s="1"/>
      <c r="B6" s="5" t="s">
        <v>77</v>
      </c>
      <c r="C6" s="102">
        <v>0.1</v>
      </c>
    </row>
    <row r="7" spans="1:8" s="5" customFormat="1">
      <c r="A7" s="1"/>
      <c r="B7" s="106" t="s">
        <v>76</v>
      </c>
      <c r="C7" s="104" t="s">
        <v>83</v>
      </c>
    </row>
    <row r="8" spans="1:8" s="5" customFormat="1">
      <c r="A8" s="1"/>
    </row>
    <row r="9" spans="1:8" s="5" customFormat="1">
      <c r="A9" s="1"/>
      <c r="C9" s="90">
        <v>2023</v>
      </c>
      <c r="D9" s="90">
        <v>2024</v>
      </c>
      <c r="E9" s="90">
        <v>2025</v>
      </c>
      <c r="F9" s="90">
        <v>2026</v>
      </c>
      <c r="G9" s="90">
        <v>2027</v>
      </c>
      <c r="H9" s="90">
        <v>2028</v>
      </c>
    </row>
    <row r="10" spans="1:8" s="5" customFormat="1">
      <c r="A10" s="1"/>
      <c r="C10" s="82">
        <v>-50000</v>
      </c>
      <c r="D10" s="82">
        <v>15000</v>
      </c>
      <c r="E10" s="82">
        <v>15000</v>
      </c>
      <c r="F10" s="82">
        <v>15000</v>
      </c>
      <c r="G10" s="82">
        <v>15000</v>
      </c>
      <c r="H10" s="82">
        <v>15000</v>
      </c>
    </row>
    <row r="11" spans="1:8" s="5" customFormat="1">
      <c r="A11" s="1"/>
    </row>
    <row r="12" spans="1:8" s="5" customFormat="1">
      <c r="A12" s="1"/>
      <c r="C12" s="92" t="s">
        <v>76</v>
      </c>
      <c r="D12" s="93">
        <f>NPV(C6,D10:H10)+C10</f>
        <v>6861.8015411267115</v>
      </c>
    </row>
    <row r="14" spans="1:8" s="83" customFormat="1">
      <c r="A14" s="1"/>
      <c r="B14" s="89" t="s">
        <v>80</v>
      </c>
    </row>
    <row r="15" spans="1:8" s="83" customFormat="1">
      <c r="A15" s="1"/>
      <c r="B15" s="83" t="s">
        <v>82</v>
      </c>
      <c r="C15" s="101">
        <v>100000</v>
      </c>
      <c r="D15" s="85"/>
      <c r="E15" s="86"/>
      <c r="F15" s="86"/>
      <c r="G15" s="86"/>
    </row>
    <row r="16" spans="1:8" s="83" customFormat="1">
      <c r="A16" s="1"/>
      <c r="B16" s="83" t="s">
        <v>81</v>
      </c>
      <c r="C16" s="101">
        <v>30000</v>
      </c>
    </row>
    <row r="17" spans="1:8" s="83" customFormat="1">
      <c r="A17" s="1"/>
      <c r="B17" s="83" t="s">
        <v>85</v>
      </c>
      <c r="C17" s="105">
        <v>0.1</v>
      </c>
    </row>
    <row r="18" spans="1:8" s="83" customFormat="1">
      <c r="A18" s="1"/>
      <c r="B18" s="98" t="s">
        <v>84</v>
      </c>
      <c r="C18" s="99" t="s">
        <v>83</v>
      </c>
    </row>
    <row r="19" spans="1:8" s="83" customFormat="1">
      <c r="A19" s="1"/>
      <c r="B19" s="100"/>
      <c r="C19" s="101"/>
    </row>
    <row r="20" spans="1:8" s="83" customFormat="1">
      <c r="A20" s="1"/>
      <c r="C20" s="91">
        <v>2023</v>
      </c>
      <c r="D20" s="91">
        <v>2024</v>
      </c>
      <c r="E20" s="91">
        <v>2025</v>
      </c>
      <c r="F20" s="91">
        <v>2026</v>
      </c>
      <c r="G20" s="91">
        <v>2027</v>
      </c>
      <c r="H20" s="87"/>
    </row>
    <row r="21" spans="1:8" s="83" customFormat="1">
      <c r="A21" s="1"/>
      <c r="C21" s="88">
        <v>-100000</v>
      </c>
      <c r="D21" s="84">
        <v>30000</v>
      </c>
      <c r="E21" s="84">
        <v>30000</v>
      </c>
      <c r="F21" s="84">
        <v>30000</v>
      </c>
      <c r="G21" s="84">
        <v>30000</v>
      </c>
    </row>
    <row r="22" spans="1:8" s="83" customFormat="1">
      <c r="A22" s="1"/>
      <c r="C22" s="84"/>
    </row>
    <row r="23" spans="1:8" s="83" customFormat="1">
      <c r="A23" s="1"/>
      <c r="C23" s="94" t="s">
        <v>80</v>
      </c>
      <c r="D23" s="95">
        <f>IRR(C21:G21)</f>
        <v>7.7138472952043458E-2</v>
      </c>
    </row>
    <row r="25" spans="1:8" s="11" customFormat="1">
      <c r="A25" s="1"/>
      <c r="B25" s="24" t="s">
        <v>86</v>
      </c>
    </row>
    <row r="26" spans="1:8" s="11" customFormat="1">
      <c r="A26" s="1"/>
      <c r="B26" s="11" t="s">
        <v>78</v>
      </c>
      <c r="C26" s="65">
        <v>50000</v>
      </c>
    </row>
    <row r="27" spans="1:8" s="11" customFormat="1">
      <c r="A27" s="1"/>
      <c r="B27" s="11" t="s">
        <v>79</v>
      </c>
      <c r="C27" s="65" t="s">
        <v>87</v>
      </c>
    </row>
    <row r="28" spans="1:8" s="11" customFormat="1">
      <c r="A28" s="1"/>
      <c r="B28" s="11" t="s">
        <v>77</v>
      </c>
      <c r="C28" s="107">
        <f>6%+4%</f>
        <v>0.1</v>
      </c>
    </row>
    <row r="29" spans="1:8" s="11" customFormat="1">
      <c r="A29" s="1"/>
      <c r="B29" s="108" t="s">
        <v>76</v>
      </c>
      <c r="C29" s="109" t="s">
        <v>83</v>
      </c>
      <c r="F29" s="110"/>
    </row>
    <row r="30" spans="1:8" s="11" customFormat="1">
      <c r="A30" s="1"/>
    </row>
    <row r="31" spans="1:8" s="11" customFormat="1">
      <c r="A31" s="1"/>
      <c r="C31" s="111">
        <v>2023</v>
      </c>
      <c r="D31" s="111">
        <v>2024</v>
      </c>
      <c r="E31" s="111">
        <v>2025</v>
      </c>
      <c r="F31" s="111">
        <v>2026</v>
      </c>
      <c r="G31" s="111">
        <v>2027</v>
      </c>
      <c r="H31" s="111">
        <v>2028</v>
      </c>
    </row>
    <row r="32" spans="1:8" s="11" customFormat="1">
      <c r="A32" s="1"/>
      <c r="C32" s="112">
        <v>-50000</v>
      </c>
      <c r="D32" s="112">
        <v>10000</v>
      </c>
      <c r="E32" s="112">
        <v>15000</v>
      </c>
      <c r="F32" s="112">
        <v>20000</v>
      </c>
      <c r="G32" s="112">
        <v>25000</v>
      </c>
      <c r="H32" s="112">
        <v>30000</v>
      </c>
    </row>
    <row r="33" spans="1:4" s="11" customFormat="1">
      <c r="A33" s="1"/>
    </row>
    <row r="34" spans="1:4" s="11" customFormat="1">
      <c r="A34" s="1"/>
      <c r="C34" s="113" t="s">
        <v>76</v>
      </c>
      <c r="D34" s="114">
        <f>NPV(C28,D32:H32)+C32</f>
        <v>22216.87539971809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BD0E-580E-4B94-9C43-9A9360486FAC}">
  <sheetPr>
    <pageSetUpPr fitToPage="1"/>
  </sheetPr>
  <dimension ref="A2:H50"/>
  <sheetViews>
    <sheetView tabSelected="1" topLeftCell="A19" workbookViewId="0">
      <selection activeCell="D48" sqref="D48"/>
    </sheetView>
  </sheetViews>
  <sheetFormatPr defaultColWidth="9" defaultRowHeight="15"/>
  <cols>
    <col min="1" max="1" width="3.7109375" style="1" customWidth="1"/>
    <col min="2" max="2" width="20.85546875" style="1" customWidth="1"/>
    <col min="3" max="3" width="10.5703125" style="1" customWidth="1"/>
    <col min="4" max="4" width="16.7109375" style="1" bestFit="1" customWidth="1"/>
    <col min="5" max="8" width="10.5703125" style="1" bestFit="1" customWidth="1"/>
    <col min="9" max="16384" width="9" style="1"/>
  </cols>
  <sheetData>
    <row r="2" spans="1:8" s="19" customFormat="1">
      <c r="A2" s="22"/>
      <c r="B2" s="19" t="s">
        <v>88</v>
      </c>
    </row>
    <row r="3" spans="1:8" s="5" customFormat="1">
      <c r="A3" s="1"/>
      <c r="B3" s="5" t="s">
        <v>94</v>
      </c>
      <c r="C3" s="96">
        <v>500000</v>
      </c>
      <c r="D3" s="81"/>
    </row>
    <row r="4" spans="1:8" s="5" customFormat="1">
      <c r="A4" s="1"/>
      <c r="B4" s="5" t="s">
        <v>93</v>
      </c>
      <c r="C4" s="81">
        <v>0.1</v>
      </c>
    </row>
    <row r="5" spans="1:8" s="5" customFormat="1">
      <c r="A5" s="1"/>
      <c r="B5" s="90" t="s">
        <v>91</v>
      </c>
      <c r="C5" s="97">
        <v>0.25</v>
      </c>
    </row>
    <row r="6" spans="1:8" s="5" customFormat="1">
      <c r="A6" s="1"/>
      <c r="C6" s="81"/>
    </row>
    <row r="7" spans="1:8" s="5" customFormat="1">
      <c r="A7" s="1"/>
      <c r="C7" s="90">
        <v>2023</v>
      </c>
      <c r="D7" s="90">
        <v>2024</v>
      </c>
      <c r="E7" s="90">
        <v>2025</v>
      </c>
      <c r="F7" s="90">
        <v>2026</v>
      </c>
      <c r="G7" s="90">
        <v>2027</v>
      </c>
      <c r="H7" s="90">
        <v>2028</v>
      </c>
    </row>
    <row r="8" spans="1:8" s="5" customFormat="1">
      <c r="A8" s="1"/>
      <c r="B8" s="5" t="s">
        <v>0</v>
      </c>
      <c r="D8" s="82">
        <v>300000</v>
      </c>
      <c r="E8" s="82">
        <v>350000</v>
      </c>
      <c r="F8" s="82">
        <v>400000</v>
      </c>
      <c r="G8" s="82">
        <v>450000</v>
      </c>
      <c r="H8" s="82">
        <v>500000</v>
      </c>
    </row>
    <row r="9" spans="1:8" s="5" customFormat="1">
      <c r="A9" s="1"/>
      <c r="B9" s="5" t="s">
        <v>28</v>
      </c>
      <c r="D9" s="82">
        <v>100000</v>
      </c>
      <c r="E9" s="82">
        <v>110000</v>
      </c>
      <c r="F9" s="82">
        <v>120000</v>
      </c>
      <c r="G9" s="82">
        <v>130000</v>
      </c>
      <c r="H9" s="82">
        <v>140000</v>
      </c>
    </row>
    <row r="10" spans="1:8" s="5" customFormat="1">
      <c r="A10" s="1"/>
      <c r="B10" s="5" t="s">
        <v>102</v>
      </c>
      <c r="D10" s="82">
        <f>+D8-D9</f>
        <v>200000</v>
      </c>
      <c r="E10" s="82">
        <f t="shared" ref="E10:H10" si="0">+E8-E9</f>
        <v>240000</v>
      </c>
      <c r="F10" s="82">
        <f t="shared" si="0"/>
        <v>280000</v>
      </c>
      <c r="G10" s="82">
        <f t="shared" si="0"/>
        <v>320000</v>
      </c>
      <c r="H10" s="82">
        <f t="shared" si="0"/>
        <v>360000</v>
      </c>
    </row>
    <row r="11" spans="1:8" s="5" customFormat="1">
      <c r="A11" s="1"/>
      <c r="B11" s="5" t="s">
        <v>89</v>
      </c>
      <c r="D11" s="82">
        <f>+D10*$C$5</f>
        <v>50000</v>
      </c>
      <c r="E11" s="82">
        <f t="shared" ref="E11:H11" si="1">+E10*$C$5</f>
        <v>60000</v>
      </c>
      <c r="F11" s="82">
        <f t="shared" si="1"/>
        <v>70000</v>
      </c>
      <c r="G11" s="82">
        <f t="shared" si="1"/>
        <v>80000</v>
      </c>
      <c r="H11" s="82">
        <f t="shared" si="1"/>
        <v>90000</v>
      </c>
    </row>
    <row r="12" spans="1:8" s="5" customFormat="1">
      <c r="A12" s="1"/>
      <c r="B12" s="5" t="s">
        <v>90</v>
      </c>
      <c r="D12" s="82">
        <v>50000</v>
      </c>
      <c r="E12" s="82">
        <v>20000</v>
      </c>
      <c r="F12" s="82">
        <v>20000</v>
      </c>
      <c r="G12" s="82">
        <v>20000</v>
      </c>
      <c r="H12" s="82">
        <v>20000</v>
      </c>
    </row>
    <row r="13" spans="1:8" s="5" customFormat="1">
      <c r="A13" s="1"/>
      <c r="B13" s="5" t="s">
        <v>92</v>
      </c>
      <c r="C13" s="116">
        <f>-C3</f>
        <v>-500000</v>
      </c>
      <c r="D13" s="82">
        <f>+D10-D12-D11</f>
        <v>100000</v>
      </c>
      <c r="E13" s="82">
        <f>+E10-E12-E11</f>
        <v>160000</v>
      </c>
      <c r="F13" s="82">
        <f>+F10-F12-F11</f>
        <v>190000</v>
      </c>
      <c r="G13" s="82">
        <f>+G10-G12-G11</f>
        <v>220000</v>
      </c>
      <c r="H13" s="82">
        <f>+H10-H12-H11</f>
        <v>250000</v>
      </c>
    </row>
    <row r="14" spans="1:8" s="5" customFormat="1">
      <c r="A14" s="1"/>
    </row>
    <row r="15" spans="1:8" s="5" customFormat="1">
      <c r="A15" s="1"/>
      <c r="B15" s="92" t="s">
        <v>76</v>
      </c>
      <c r="C15" s="140">
        <f>+NPV(C4,D13:H13)+C13</f>
        <v>171383.59898417257</v>
      </c>
    </row>
    <row r="16" spans="1:8" s="5" customFormat="1">
      <c r="A16" s="1"/>
      <c r="B16" s="92" t="s">
        <v>80</v>
      </c>
      <c r="C16" s="141">
        <f>+IRR(C13:H13)</f>
        <v>0.20856218223843226</v>
      </c>
      <c r="D16" s="82"/>
      <c r="E16" s="82"/>
      <c r="F16" s="82"/>
      <c r="G16" s="82"/>
      <c r="H16" s="116"/>
    </row>
    <row r="17" spans="1:8" s="5" customFormat="1">
      <c r="A17" s="1"/>
      <c r="B17" s="92" t="s">
        <v>95</v>
      </c>
      <c r="C17" s="142" t="s">
        <v>100</v>
      </c>
    </row>
    <row r="18" spans="1:8" s="5" customFormat="1">
      <c r="A18" s="1"/>
      <c r="C18" s="116">
        <f>+C13+D13+E13+F13</f>
        <v>-50000</v>
      </c>
      <c r="D18" s="5" t="s">
        <v>97</v>
      </c>
    </row>
    <row r="19" spans="1:8" s="5" customFormat="1">
      <c r="A19" s="1"/>
      <c r="C19" s="116">
        <f>+C13+D13+E13+F13+G13</f>
        <v>170000</v>
      </c>
      <c r="D19" s="5" t="s">
        <v>96</v>
      </c>
    </row>
    <row r="20" spans="1:8">
      <c r="C20" s="3"/>
    </row>
    <row r="21" spans="1:8" s="26" customFormat="1">
      <c r="A21" s="22"/>
      <c r="B21" s="26" t="s">
        <v>98</v>
      </c>
    </row>
    <row r="22" spans="1:8" s="15" customFormat="1">
      <c r="A22" s="1"/>
      <c r="B22" s="15" t="s">
        <v>94</v>
      </c>
      <c r="C22" s="117">
        <v>2000000</v>
      </c>
    </row>
    <row r="23" spans="1:8" s="15" customFormat="1">
      <c r="A23" s="1"/>
      <c r="B23" s="15" t="s">
        <v>93</v>
      </c>
      <c r="C23" s="118">
        <v>0.12</v>
      </c>
    </row>
    <row r="24" spans="1:8" s="15" customFormat="1">
      <c r="A24" s="1"/>
      <c r="B24" s="130" t="s">
        <v>91</v>
      </c>
      <c r="C24" s="131">
        <v>0.3</v>
      </c>
    </row>
    <row r="25" spans="1:8" s="15" customFormat="1">
      <c r="A25" s="1"/>
      <c r="C25" s="118"/>
    </row>
    <row r="26" spans="1:8" s="15" customFormat="1">
      <c r="A26" s="1"/>
      <c r="C26" s="130">
        <v>2023</v>
      </c>
      <c r="D26" s="130">
        <v>2024</v>
      </c>
      <c r="E26" s="130">
        <v>2025</v>
      </c>
      <c r="F26" s="130">
        <v>2026</v>
      </c>
      <c r="G26" s="130">
        <v>2027</v>
      </c>
      <c r="H26" s="130">
        <v>2028</v>
      </c>
    </row>
    <row r="27" spans="1:8" s="15" customFormat="1">
      <c r="A27" s="1"/>
      <c r="B27" s="15" t="s">
        <v>0</v>
      </c>
      <c r="D27" s="117">
        <v>2000000</v>
      </c>
      <c r="E27" s="117">
        <v>2200000</v>
      </c>
      <c r="F27" s="117">
        <v>2400000</v>
      </c>
      <c r="G27" s="117">
        <v>2600000</v>
      </c>
      <c r="H27" s="117">
        <v>2800000</v>
      </c>
    </row>
    <row r="28" spans="1:8" s="15" customFormat="1">
      <c r="A28" s="1"/>
      <c r="B28" s="15" t="s">
        <v>28</v>
      </c>
      <c r="D28" s="117">
        <v>1750000</v>
      </c>
      <c r="E28" s="117">
        <v>1600000</v>
      </c>
      <c r="F28" s="117">
        <v>1450000</v>
      </c>
      <c r="G28" s="117">
        <v>1300000</v>
      </c>
      <c r="H28" s="117">
        <v>1150000</v>
      </c>
    </row>
    <row r="29" spans="1:8" s="15" customFormat="1">
      <c r="A29" s="1"/>
      <c r="B29" s="15" t="s">
        <v>89</v>
      </c>
      <c r="D29" s="117">
        <f>+(D27-D28)*0.3</f>
        <v>75000</v>
      </c>
      <c r="E29" s="117">
        <f t="shared" ref="E29:H29" si="2">+(E27-E28)*0.3</f>
        <v>180000</v>
      </c>
      <c r="F29" s="117">
        <f t="shared" si="2"/>
        <v>285000</v>
      </c>
      <c r="G29" s="117">
        <f t="shared" si="2"/>
        <v>390000</v>
      </c>
      <c r="H29" s="117">
        <f t="shared" si="2"/>
        <v>495000</v>
      </c>
    </row>
    <row r="30" spans="1:8" s="15" customFormat="1">
      <c r="A30" s="1"/>
      <c r="B30" s="15" t="s">
        <v>92</v>
      </c>
      <c r="C30" s="119">
        <f>-C22</f>
        <v>-2000000</v>
      </c>
      <c r="D30" s="117">
        <f>+D27-D28-D29</f>
        <v>175000</v>
      </c>
      <c r="E30" s="117">
        <f t="shared" ref="E30:H30" si="3">+E27-E28-E29</f>
        <v>420000</v>
      </c>
      <c r="F30" s="117">
        <f t="shared" si="3"/>
        <v>665000</v>
      </c>
      <c r="G30" s="117">
        <f t="shared" si="3"/>
        <v>910000</v>
      </c>
      <c r="H30" s="117">
        <f t="shared" si="3"/>
        <v>1155000</v>
      </c>
    </row>
    <row r="31" spans="1:8" s="15" customFormat="1">
      <c r="A31" s="1"/>
      <c r="B31" s="122" t="s">
        <v>76</v>
      </c>
      <c r="C31" s="137">
        <f>+NPV(C23,D30:H30)+C30</f>
        <v>198104.76307072537</v>
      </c>
      <c r="D31" s="119"/>
      <c r="E31" s="119"/>
      <c r="F31" s="119"/>
      <c r="G31" s="119"/>
      <c r="H31" s="119"/>
    </row>
    <row r="32" spans="1:8" s="15" customFormat="1">
      <c r="A32" s="1"/>
      <c r="B32" s="122" t="s">
        <v>80</v>
      </c>
      <c r="C32" s="138">
        <f>+IRR(C30:H30)</f>
        <v>0.15025082186871286</v>
      </c>
      <c r="D32" s="119"/>
      <c r="E32" s="119"/>
      <c r="F32" s="119"/>
      <c r="G32" s="119"/>
      <c r="H32" s="119"/>
    </row>
    <row r="33" spans="1:8" s="15" customFormat="1">
      <c r="A33" s="1"/>
      <c r="B33" s="122" t="s">
        <v>95</v>
      </c>
      <c r="C33" s="139" t="s">
        <v>100</v>
      </c>
      <c r="F33" s="120"/>
    </row>
    <row r="34" spans="1:8" s="15" customFormat="1">
      <c r="A34" s="1"/>
      <c r="C34" s="119">
        <f>+C30+D30+E30+F30</f>
        <v>-740000</v>
      </c>
      <c r="D34" s="15" t="s">
        <v>97</v>
      </c>
      <c r="F34" s="121"/>
    </row>
    <row r="35" spans="1:8" s="15" customFormat="1">
      <c r="A35" s="1"/>
      <c r="C35" s="119">
        <f>+C30+D30+E30+F30+G30</f>
        <v>170000</v>
      </c>
      <c r="D35" s="15" t="s">
        <v>96</v>
      </c>
    </row>
    <row r="36" spans="1:8">
      <c r="F36" s="115"/>
    </row>
    <row r="37" spans="1:8" s="127" customFormat="1">
      <c r="A37" s="22"/>
      <c r="B37" s="127" t="s">
        <v>99</v>
      </c>
    </row>
    <row r="38" spans="1:8" s="9" customFormat="1">
      <c r="A38" s="1"/>
      <c r="B38" s="9" t="s">
        <v>94</v>
      </c>
      <c r="C38" s="123">
        <v>1800000</v>
      </c>
      <c r="F38" s="124"/>
    </row>
    <row r="39" spans="1:8" s="9" customFormat="1">
      <c r="A39" s="1"/>
      <c r="B39" s="9" t="s">
        <v>93</v>
      </c>
      <c r="C39" s="125">
        <v>0.12</v>
      </c>
    </row>
    <row r="40" spans="1:8" s="9" customFormat="1">
      <c r="A40" s="1"/>
      <c r="B40" s="132" t="s">
        <v>91</v>
      </c>
      <c r="C40" s="133">
        <v>0.15</v>
      </c>
      <c r="F40" s="124"/>
    </row>
    <row r="41" spans="1:8" s="9" customFormat="1">
      <c r="A41" s="1"/>
      <c r="C41" s="125"/>
      <c r="F41" s="124"/>
    </row>
    <row r="42" spans="1:8" s="9" customFormat="1">
      <c r="A42" s="1"/>
      <c r="C42" s="132">
        <v>2023</v>
      </c>
      <c r="D42" s="132">
        <v>2024</v>
      </c>
      <c r="E42" s="132">
        <v>2025</v>
      </c>
      <c r="F42" s="132">
        <v>2026</v>
      </c>
      <c r="G42" s="132">
        <v>2027</v>
      </c>
      <c r="H42" s="132">
        <v>2028</v>
      </c>
    </row>
    <row r="43" spans="1:8" s="9" customFormat="1">
      <c r="A43" s="1"/>
      <c r="B43" s="9" t="s">
        <v>0</v>
      </c>
      <c r="D43" s="123">
        <v>1500000</v>
      </c>
      <c r="E43" s="123">
        <v>2000000</v>
      </c>
      <c r="F43" s="123">
        <v>2500000</v>
      </c>
      <c r="G43" s="123">
        <v>3000000</v>
      </c>
      <c r="H43" s="123">
        <v>3500000</v>
      </c>
    </row>
    <row r="44" spans="1:8" s="9" customFormat="1">
      <c r="A44" s="1"/>
      <c r="B44" s="9" t="s">
        <v>28</v>
      </c>
      <c r="D44" s="123">
        <v>1100000</v>
      </c>
      <c r="E44" s="123">
        <v>1650000</v>
      </c>
      <c r="F44" s="123">
        <v>1700000</v>
      </c>
      <c r="G44" s="123">
        <v>2750000</v>
      </c>
      <c r="H44" s="123">
        <v>2800000</v>
      </c>
    </row>
    <row r="45" spans="1:8" s="9" customFormat="1">
      <c r="A45" s="1"/>
      <c r="B45" s="9" t="s">
        <v>89</v>
      </c>
      <c r="D45" s="126">
        <f>(D43-D44)*$C$40</f>
        <v>60000</v>
      </c>
      <c r="E45" s="126">
        <f t="shared" ref="E45:H45" si="4">(E43-E44)*$C$40</f>
        <v>52500</v>
      </c>
      <c r="F45" s="126">
        <f t="shared" si="4"/>
        <v>120000</v>
      </c>
      <c r="G45" s="126">
        <f t="shared" si="4"/>
        <v>37500</v>
      </c>
      <c r="H45" s="126">
        <f t="shared" si="4"/>
        <v>105000</v>
      </c>
    </row>
    <row r="46" spans="1:8" s="9" customFormat="1">
      <c r="A46" s="1"/>
      <c r="B46" s="9" t="s">
        <v>92</v>
      </c>
      <c r="C46" s="129">
        <f>-C38</f>
        <v>-1800000</v>
      </c>
      <c r="D46" s="126">
        <f>+D43-D44-D45</f>
        <v>340000</v>
      </c>
      <c r="E46" s="126">
        <f t="shared" ref="E46:H46" si="5">+E43-E44-E45</f>
        <v>297500</v>
      </c>
      <c r="F46" s="126">
        <f t="shared" si="5"/>
        <v>680000</v>
      </c>
      <c r="G46" s="126">
        <f t="shared" si="5"/>
        <v>212500</v>
      </c>
      <c r="H46" s="126">
        <f t="shared" si="5"/>
        <v>595000</v>
      </c>
    </row>
    <row r="47" spans="1:8" s="9" customFormat="1">
      <c r="A47" s="1"/>
      <c r="C47" s="126"/>
      <c r="D47" s="126"/>
      <c r="E47" s="126"/>
      <c r="F47" s="126"/>
      <c r="G47" s="126"/>
      <c r="H47" s="126"/>
    </row>
    <row r="48" spans="1:8" s="9" customFormat="1">
      <c r="A48" s="1"/>
      <c r="B48" s="128" t="s">
        <v>76</v>
      </c>
      <c r="C48" s="134">
        <f>+NPV(C39,D46:H46)+C46</f>
        <v>-302586.25353043037</v>
      </c>
    </row>
    <row r="49" spans="1:3" s="9" customFormat="1">
      <c r="A49" s="1"/>
      <c r="B49" s="128" t="s">
        <v>80</v>
      </c>
      <c r="C49" s="135">
        <f>+IRR(C46:H46)</f>
        <v>5.413783007612194E-2</v>
      </c>
    </row>
    <row r="50" spans="1:3" s="9" customFormat="1">
      <c r="A50" s="1"/>
      <c r="B50" s="128" t="s">
        <v>95</v>
      </c>
      <c r="C50" s="136" t="s">
        <v>101</v>
      </c>
    </row>
  </sheetData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L4 - Analiza FI</vt:lpstr>
      <vt:lpstr>L7 - NPV i IRR</vt:lpstr>
      <vt:lpstr>L10 - studije slucaja</vt:lpstr>
    </vt:vector>
  </TitlesOfParts>
  <Company>KrestonMDM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Mihić</dc:creator>
  <cp:lastModifiedBy>Jelena Mihić</cp:lastModifiedBy>
  <cp:lastPrinted>2023-12-06T12:25:56Z</cp:lastPrinted>
  <dcterms:created xsi:type="dcterms:W3CDTF">2023-10-21T11:38:22Z</dcterms:created>
  <dcterms:modified xsi:type="dcterms:W3CDTF">2024-01-04T10:33:40Z</dcterms:modified>
</cp:coreProperties>
</file>